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1840" windowHeight="12885" firstSheet="5" activeTab="5"/>
  </bookViews>
  <sheets>
    <sheet name="Table-2014-15(Table 4-28)-Chart" sheetId="1" state="hidden" r:id="rId1"/>
    <sheet name="Sheet1" sheetId="7" state="hidden" r:id="rId2"/>
    <sheet name="Table-5(Major Non-major)" sheetId="6" state="hidden" r:id="rId3"/>
    <sheet name="Table-5,6,7,15(new)" sheetId="2" state="hidden" r:id="rId4"/>
    <sheet name="table 3" sheetId="13" state="hidden" r:id="rId5"/>
    <sheet name="Sheet2" sheetId="22" r:id="rId6"/>
  </sheets>
  <definedNames>
    <definedName name="OLE_LINK20" localSheetId="0">'Table-2014-15(Table 4-28)-Chart'!$H$208</definedName>
  </definedNames>
  <calcPr calcId="124519"/>
</workbook>
</file>

<file path=xl/calcChain.xml><?xml version="1.0" encoding="utf-8"?>
<calcChain xmlns="http://schemas.openxmlformats.org/spreadsheetml/2006/main">
  <c r="U77" i="2"/>
  <c r="R21" i="13" l="1"/>
  <c r="L8" s="1"/>
  <c r="R22"/>
  <c r="O8" s="1"/>
  <c r="R17"/>
  <c r="L7" s="1"/>
  <c r="S17"/>
  <c r="M7" s="1"/>
  <c r="R18"/>
  <c r="O7" s="1"/>
  <c r="S18"/>
  <c r="P7" s="1"/>
  <c r="S16"/>
  <c r="J7" s="1"/>
  <c r="R13"/>
  <c r="L6" s="1"/>
  <c r="S13"/>
  <c r="M6" s="1"/>
  <c r="R14"/>
  <c r="O6" s="1"/>
  <c r="S14"/>
  <c r="P6" s="1"/>
  <c r="S12"/>
  <c r="J6" s="1"/>
  <c r="R16"/>
  <c r="I7" s="1"/>
  <c r="R20"/>
  <c r="I8" s="1"/>
  <c r="R12"/>
  <c r="I6" s="1"/>
  <c r="Q18"/>
  <c r="Q12"/>
  <c r="Q13"/>
  <c r="Q14"/>
  <c r="S9" s="1"/>
  <c r="T9" s="1"/>
  <c r="I16"/>
  <c r="P21"/>
  <c r="S22" s="1"/>
  <c r="P20"/>
  <c r="S20" s="1"/>
  <c r="Q17"/>
  <c r="Q16"/>
  <c r="Q15"/>
  <c r="Q11"/>
  <c r="M214" i="1"/>
  <c r="M213"/>
  <c r="D55"/>
  <c r="C51"/>
  <c r="C47"/>
  <c r="L522"/>
  <c r="L520"/>
  <c r="L501"/>
  <c r="O500"/>
  <c r="O499"/>
  <c r="N482"/>
  <c r="N481"/>
  <c r="N480"/>
  <c r="I463"/>
  <c r="M462"/>
  <c r="M461"/>
  <c r="M427"/>
  <c r="M426"/>
  <c r="I409"/>
  <c r="N409"/>
  <c r="L409"/>
  <c r="J409"/>
  <c r="M408"/>
  <c r="M407"/>
  <c r="M390"/>
  <c r="M388"/>
  <c r="M372"/>
  <c r="L372"/>
  <c r="K372"/>
  <c r="J372"/>
  <c r="N353"/>
  <c r="O334"/>
  <c r="N334"/>
  <c r="M334"/>
  <c r="K334"/>
  <c r="J334"/>
  <c r="I334"/>
  <c r="P333"/>
  <c r="O333"/>
  <c r="N333"/>
  <c r="M333"/>
  <c r="L333"/>
  <c r="K333"/>
  <c r="J333"/>
  <c r="I333"/>
  <c r="Q332"/>
  <c r="N297"/>
  <c r="P297"/>
  <c r="O293"/>
  <c r="O297" s="1"/>
  <c r="P292"/>
  <c r="N292"/>
  <c r="M292"/>
  <c r="L292"/>
  <c r="K292"/>
  <c r="J292"/>
  <c r="I292"/>
  <c r="O291"/>
  <c r="P290"/>
  <c r="N290"/>
  <c r="M290"/>
  <c r="L290"/>
  <c r="K290"/>
  <c r="J290"/>
  <c r="I290"/>
  <c r="O289"/>
  <c r="O290" s="1"/>
  <c r="M288"/>
  <c r="L288"/>
  <c r="N286"/>
  <c r="M286"/>
  <c r="L286"/>
  <c r="N284"/>
  <c r="K284"/>
  <c r="O280"/>
  <c r="N280"/>
  <c r="L280"/>
  <c r="J280"/>
  <c r="L278"/>
  <c r="J278"/>
  <c r="M274"/>
  <c r="J274"/>
  <c r="L272"/>
  <c r="Z62" i="2"/>
  <c r="Y62"/>
  <c r="X62"/>
  <c r="W62"/>
  <c r="V62"/>
  <c r="U62"/>
  <c r="AA61"/>
  <c r="AG61" s="1"/>
  <c r="AA60"/>
  <c r="Z60"/>
  <c r="Y60"/>
  <c r="X60"/>
  <c r="W60"/>
  <c r="V60"/>
  <c r="U60"/>
  <c r="AA58"/>
  <c r="Z58"/>
  <c r="Y58"/>
  <c r="X58"/>
  <c r="W58"/>
  <c r="V58"/>
  <c r="U58"/>
  <c r="AA56"/>
  <c r="Z56"/>
  <c r="Y56"/>
  <c r="X56"/>
  <c r="W56"/>
  <c r="V56"/>
  <c r="U56"/>
  <c r="AA54"/>
  <c r="Z54"/>
  <c r="Y54"/>
  <c r="X54"/>
  <c r="W54"/>
  <c r="V54"/>
  <c r="U54"/>
  <c r="AA52"/>
  <c r="Z52"/>
  <c r="Y52"/>
  <c r="X52"/>
  <c r="W52"/>
  <c r="V52"/>
  <c r="U52"/>
  <c r="AA50"/>
  <c r="Z50"/>
  <c r="Y50"/>
  <c r="X50"/>
  <c r="W50"/>
  <c r="V50"/>
  <c r="U50"/>
  <c r="AA48"/>
  <c r="Z48"/>
  <c r="Y48"/>
  <c r="X48"/>
  <c r="W48"/>
  <c r="V48"/>
  <c r="U48"/>
  <c r="AA46"/>
  <c r="Z46"/>
  <c r="Y46"/>
  <c r="X46"/>
  <c r="W46"/>
  <c r="V46"/>
  <c r="U46"/>
  <c r="AA44"/>
  <c r="Z44"/>
  <c r="Y44"/>
  <c r="X44"/>
  <c r="W44"/>
  <c r="V44"/>
  <c r="U44"/>
  <c r="AA63"/>
  <c r="AG63" s="1"/>
  <c r="AB26"/>
  <c r="AB24"/>
  <c r="AB22"/>
  <c r="AB20"/>
  <c r="AB18"/>
  <c r="AB16"/>
  <c r="AB14"/>
  <c r="AB12"/>
  <c r="AB10"/>
  <c r="AB8"/>
  <c r="AA26"/>
  <c r="Z26"/>
  <c r="Y26"/>
  <c r="X26"/>
  <c r="W26"/>
  <c r="V26"/>
  <c r="U26"/>
  <c r="AA24"/>
  <c r="Z24"/>
  <c r="Y24"/>
  <c r="X24"/>
  <c r="W24"/>
  <c r="V24"/>
  <c r="U24"/>
  <c r="AA22"/>
  <c r="Z22"/>
  <c r="Y22"/>
  <c r="X22"/>
  <c r="W22"/>
  <c r="V22"/>
  <c r="U22"/>
  <c r="AA20"/>
  <c r="Z20"/>
  <c r="Y20"/>
  <c r="X20"/>
  <c r="W20"/>
  <c r="V20"/>
  <c r="U20"/>
  <c r="AA18"/>
  <c r="Z18"/>
  <c r="Y18"/>
  <c r="X18"/>
  <c r="W18"/>
  <c r="V18"/>
  <c r="U18"/>
  <c r="AA16"/>
  <c r="Z16"/>
  <c r="Y16"/>
  <c r="X16"/>
  <c r="W16"/>
  <c r="V16"/>
  <c r="U16"/>
  <c r="AA14"/>
  <c r="Z14"/>
  <c r="Y14"/>
  <c r="X14"/>
  <c r="W14"/>
  <c r="V14"/>
  <c r="U14"/>
  <c r="AA12"/>
  <c r="Z12"/>
  <c r="Y12"/>
  <c r="X12"/>
  <c r="W12"/>
  <c r="V12"/>
  <c r="U12"/>
  <c r="AA10"/>
  <c r="Z10"/>
  <c r="Y10"/>
  <c r="X10"/>
  <c r="W10"/>
  <c r="V10"/>
  <c r="U10"/>
  <c r="AA8"/>
  <c r="Z8"/>
  <c r="Y8"/>
  <c r="X8"/>
  <c r="W8"/>
  <c r="V8"/>
  <c r="U8"/>
  <c r="N33"/>
  <c r="N31"/>
  <c r="N29"/>
  <c r="N27"/>
  <c r="N25"/>
  <c r="N26" s="1"/>
  <c r="N23"/>
  <c r="N21"/>
  <c r="N19"/>
  <c r="N17"/>
  <c r="N15"/>
  <c r="N13"/>
  <c r="N11"/>
  <c r="N9"/>
  <c r="N7"/>
  <c r="I32"/>
  <c r="G28"/>
  <c r="F28"/>
  <c r="D28"/>
  <c r="C28"/>
  <c r="E27"/>
  <c r="H26"/>
  <c r="H27" s="1"/>
  <c r="G26"/>
  <c r="G27" s="1"/>
  <c r="F26"/>
  <c r="F27" s="1"/>
  <c r="D26"/>
  <c r="D27" s="1"/>
  <c r="C26"/>
  <c r="AJ59"/>
  <c r="AI59"/>
  <c r="AH59"/>
  <c r="AG59"/>
  <c r="AF59"/>
  <c r="AE59"/>
  <c r="AD59"/>
  <c r="AJ57"/>
  <c r="AI57"/>
  <c r="AH57"/>
  <c r="AG57"/>
  <c r="AF57"/>
  <c r="AE57"/>
  <c r="AD57"/>
  <c r="AJ55"/>
  <c r="AI55"/>
  <c r="AH55"/>
  <c r="AG55"/>
  <c r="AF55"/>
  <c r="AE55"/>
  <c r="AD55"/>
  <c r="AJ53"/>
  <c r="AI53"/>
  <c r="AH53"/>
  <c r="AG53"/>
  <c r="AF53"/>
  <c r="AE53"/>
  <c r="AD53"/>
  <c r="AJ51"/>
  <c r="AI51"/>
  <c r="AH51"/>
  <c r="AG51"/>
  <c r="AF51"/>
  <c r="AE51"/>
  <c r="AD51"/>
  <c r="AJ49"/>
  <c r="AI49"/>
  <c r="AH49"/>
  <c r="AG49"/>
  <c r="AF49"/>
  <c r="AE49"/>
  <c r="AD49"/>
  <c r="AJ47"/>
  <c r="AI47"/>
  <c r="AH47"/>
  <c r="AG47"/>
  <c r="AF47"/>
  <c r="AE47"/>
  <c r="AD47"/>
  <c r="AJ45"/>
  <c r="AI45"/>
  <c r="AH45"/>
  <c r="AG45"/>
  <c r="AF45"/>
  <c r="AE45"/>
  <c r="AD45"/>
  <c r="AJ43"/>
  <c r="AI43"/>
  <c r="AH43"/>
  <c r="AG43"/>
  <c r="AF43"/>
  <c r="AE43"/>
  <c r="AD43"/>
  <c r="AE41"/>
  <c r="AF41"/>
  <c r="AG41"/>
  <c r="AH41"/>
  <c r="AI41"/>
  <c r="AJ41"/>
  <c r="AD41"/>
  <c r="Z64"/>
  <c r="Y64"/>
  <c r="X64"/>
  <c r="W64"/>
  <c r="V64"/>
  <c r="U64"/>
  <c r="Z99"/>
  <c r="Y99"/>
  <c r="X99"/>
  <c r="W99"/>
  <c r="V99"/>
  <c r="U99"/>
  <c r="Z97"/>
  <c r="Y97"/>
  <c r="X97"/>
  <c r="W97"/>
  <c r="V97"/>
  <c r="U97"/>
  <c r="AA95"/>
  <c r="AL95" s="1"/>
  <c r="Z95"/>
  <c r="Y95"/>
  <c r="X95"/>
  <c r="W95"/>
  <c r="AH95" s="1"/>
  <c r="V95"/>
  <c r="U95"/>
  <c r="AA93"/>
  <c r="AL93" s="1"/>
  <c r="Z93"/>
  <c r="Y93"/>
  <c r="X93"/>
  <c r="W93"/>
  <c r="AH93" s="1"/>
  <c r="V93"/>
  <c r="U93"/>
  <c r="AA91"/>
  <c r="Z91"/>
  <c r="Y91"/>
  <c r="X91"/>
  <c r="W91"/>
  <c r="V91"/>
  <c r="U91"/>
  <c r="AA89"/>
  <c r="AL89" s="1"/>
  <c r="Z89"/>
  <c r="Y89"/>
  <c r="X89"/>
  <c r="W89"/>
  <c r="V89"/>
  <c r="U89"/>
  <c r="AA87"/>
  <c r="AL87" s="1"/>
  <c r="Z87"/>
  <c r="Y87"/>
  <c r="X87"/>
  <c r="W87"/>
  <c r="AH87" s="1"/>
  <c r="V87"/>
  <c r="U87"/>
  <c r="AA85"/>
  <c r="AL85" s="1"/>
  <c r="Z85"/>
  <c r="Y85"/>
  <c r="X85"/>
  <c r="W85"/>
  <c r="AH85" s="1"/>
  <c r="V85"/>
  <c r="U85"/>
  <c r="AA83"/>
  <c r="Z83"/>
  <c r="Y83"/>
  <c r="X83"/>
  <c r="W83"/>
  <c r="V83"/>
  <c r="U83"/>
  <c r="AA81"/>
  <c r="AL81" s="1"/>
  <c r="Z81"/>
  <c r="Y81"/>
  <c r="X81"/>
  <c r="W81"/>
  <c r="AH81" s="1"/>
  <c r="V81"/>
  <c r="U81"/>
  <c r="AA79"/>
  <c r="AL79" s="1"/>
  <c r="Z79"/>
  <c r="Y79"/>
  <c r="X79"/>
  <c r="W79"/>
  <c r="V79"/>
  <c r="U79"/>
  <c r="AA77"/>
  <c r="W77"/>
  <c r="AH61" l="1"/>
  <c r="AI61"/>
  <c r="AD61"/>
  <c r="AA97"/>
  <c r="AL97" s="1"/>
  <c r="AE61"/>
  <c r="I26"/>
  <c r="I27" s="1"/>
  <c r="AA62"/>
  <c r="C56" i="1"/>
  <c r="T17" i="13"/>
  <c r="N7" s="1"/>
  <c r="Q20"/>
  <c r="S21"/>
  <c r="M8" s="1"/>
  <c r="AF61" i="2"/>
  <c r="AJ61"/>
  <c r="Q19" i="13"/>
  <c r="Q21"/>
  <c r="T18"/>
  <c r="Q7" s="1"/>
  <c r="AI83" i="2"/>
  <c r="AI91"/>
  <c r="O292" i="1"/>
  <c r="U9" i="13"/>
  <c r="V9" s="1"/>
  <c r="AF83" i="2"/>
  <c r="AF91"/>
  <c r="AJ91"/>
  <c r="Q333" i="1"/>
  <c r="P8" i="13"/>
  <c r="T16"/>
  <c r="K7" s="1"/>
  <c r="AJ83" i="2"/>
  <c r="T12" i="13"/>
  <c r="K6" s="1"/>
  <c r="T13"/>
  <c r="N6" s="1"/>
  <c r="T14"/>
  <c r="Q6" s="1"/>
  <c r="J8"/>
  <c r="AI81" i="2"/>
  <c r="AH83"/>
  <c r="AI85"/>
  <c r="AH91"/>
  <c r="AG85"/>
  <c r="AK85"/>
  <c r="AI89"/>
  <c r="AG93"/>
  <c r="AK93"/>
  <c r="AF85"/>
  <c r="AJ85"/>
  <c r="AF93"/>
  <c r="AJ93"/>
  <c r="AG87"/>
  <c r="AK87"/>
  <c r="AH89"/>
  <c r="AG95"/>
  <c r="AF79"/>
  <c r="AJ87"/>
  <c r="AF95"/>
  <c r="AJ95"/>
  <c r="AI79"/>
  <c r="AF81"/>
  <c r="AJ81"/>
  <c r="AG83"/>
  <c r="AK83"/>
  <c r="AI87"/>
  <c r="AF89"/>
  <c r="AJ89"/>
  <c r="AG91"/>
  <c r="AK91"/>
  <c r="AI95"/>
  <c r="AL83"/>
  <c r="AI93"/>
  <c r="AL91"/>
  <c r="AH79"/>
  <c r="AK79"/>
  <c r="AK95"/>
  <c r="AJ79"/>
  <c r="AG79"/>
  <c r="AF87"/>
  <c r="C27"/>
  <c r="AG81"/>
  <c r="AA99"/>
  <c r="AK99" s="1"/>
  <c r="AA64"/>
  <c r="AF63"/>
  <c r="AJ63"/>
  <c r="AK81"/>
  <c r="AG89"/>
  <c r="AL77"/>
  <c r="AH77"/>
  <c r="AE63"/>
  <c r="AI63"/>
  <c r="AK89"/>
  <c r="AD63"/>
  <c r="AH63"/>
  <c r="W7" i="6"/>
  <c r="AD7" s="1"/>
  <c r="AC8"/>
  <c r="AC9"/>
  <c r="AC11"/>
  <c r="AC13"/>
  <c r="AC15"/>
  <c r="AC17"/>
  <c r="AC19"/>
  <c r="AC21"/>
  <c r="AC23"/>
  <c r="AC25"/>
  <c r="AC27"/>
  <c r="AC29"/>
  <c r="AC31"/>
  <c r="AD31"/>
  <c r="AE31"/>
  <c r="AC7"/>
  <c r="AA7"/>
  <c r="AA9"/>
  <c r="M38" i="2"/>
  <c r="N38"/>
  <c r="O38"/>
  <c r="P38"/>
  <c r="L38"/>
  <c r="Q37"/>
  <c r="E72"/>
  <c r="V70"/>
  <c r="I64"/>
  <c r="I69"/>
  <c r="E30" i="6"/>
  <c r="G30"/>
  <c r="J30"/>
  <c r="K30"/>
  <c r="M30"/>
  <c r="N30"/>
  <c r="P30"/>
  <c r="Q30"/>
  <c r="S30"/>
  <c r="V30"/>
  <c r="Y30"/>
  <c r="E28"/>
  <c r="G28"/>
  <c r="J28"/>
  <c r="K28"/>
  <c r="M28"/>
  <c r="N28"/>
  <c r="P28"/>
  <c r="Q28"/>
  <c r="S28"/>
  <c r="V28"/>
  <c r="Y28"/>
  <c r="E26"/>
  <c r="G26"/>
  <c r="J26"/>
  <c r="K26"/>
  <c r="M26"/>
  <c r="N26"/>
  <c r="P26"/>
  <c r="Q26"/>
  <c r="S26"/>
  <c r="V26"/>
  <c r="Y26"/>
  <c r="E24"/>
  <c r="G24"/>
  <c r="J24"/>
  <c r="K24"/>
  <c r="M24"/>
  <c r="N24"/>
  <c r="P24"/>
  <c r="Q24"/>
  <c r="S24"/>
  <c r="V24"/>
  <c r="Y24"/>
  <c r="E22"/>
  <c r="G22"/>
  <c r="J22"/>
  <c r="K22"/>
  <c r="M22"/>
  <c r="N22"/>
  <c r="P22"/>
  <c r="Q22"/>
  <c r="S22"/>
  <c r="V22"/>
  <c r="Y22"/>
  <c r="E20"/>
  <c r="G20"/>
  <c r="J20"/>
  <c r="K20"/>
  <c r="M20"/>
  <c r="N20"/>
  <c r="P20"/>
  <c r="Q20"/>
  <c r="S20"/>
  <c r="V20"/>
  <c r="Y20"/>
  <c r="E18"/>
  <c r="G18"/>
  <c r="J18"/>
  <c r="K18"/>
  <c r="M18"/>
  <c r="N18"/>
  <c r="P18"/>
  <c r="Q18"/>
  <c r="S18"/>
  <c r="V18"/>
  <c r="Y18"/>
  <c r="E16"/>
  <c r="G16"/>
  <c r="J16"/>
  <c r="K16"/>
  <c r="M16"/>
  <c r="N16"/>
  <c r="P16"/>
  <c r="Q16"/>
  <c r="S16"/>
  <c r="V16"/>
  <c r="Y16"/>
  <c r="E14"/>
  <c r="G14"/>
  <c r="J14"/>
  <c r="K14"/>
  <c r="M14"/>
  <c r="N14"/>
  <c r="P14"/>
  <c r="Q14"/>
  <c r="S14"/>
  <c r="V14"/>
  <c r="Y14"/>
  <c r="E12"/>
  <c r="G12"/>
  <c r="J12"/>
  <c r="K12"/>
  <c r="M12"/>
  <c r="N12"/>
  <c r="P12"/>
  <c r="Q12"/>
  <c r="S12"/>
  <c r="V12"/>
  <c r="Y12"/>
  <c r="E10"/>
  <c r="G10"/>
  <c r="J10"/>
  <c r="K10"/>
  <c r="M10"/>
  <c r="N10"/>
  <c r="P10"/>
  <c r="Q10"/>
  <c r="S10"/>
  <c r="V10"/>
  <c r="Y10"/>
  <c r="AA8"/>
  <c r="AA11"/>
  <c r="AA13"/>
  <c r="AA15"/>
  <c r="AA17"/>
  <c r="AA19"/>
  <c r="AA21"/>
  <c r="AA23"/>
  <c r="AA25"/>
  <c r="AA27"/>
  <c r="AA29"/>
  <c r="U8"/>
  <c r="U9"/>
  <c r="U11"/>
  <c r="U13"/>
  <c r="U15"/>
  <c r="U17"/>
  <c r="U19"/>
  <c r="U21"/>
  <c r="U23"/>
  <c r="U25"/>
  <c r="U27"/>
  <c r="U29"/>
  <c r="U7"/>
  <c r="R8"/>
  <c r="R9"/>
  <c r="R11"/>
  <c r="R13"/>
  <c r="R15"/>
  <c r="R17"/>
  <c r="R19"/>
  <c r="R21"/>
  <c r="R23"/>
  <c r="R25"/>
  <c r="R27"/>
  <c r="R29"/>
  <c r="R7"/>
  <c r="O8"/>
  <c r="O9"/>
  <c r="O11"/>
  <c r="O13"/>
  <c r="O15"/>
  <c r="O17"/>
  <c r="O19"/>
  <c r="O21"/>
  <c r="O23"/>
  <c r="O25"/>
  <c r="O27"/>
  <c r="O29"/>
  <c r="O7"/>
  <c r="L8"/>
  <c r="L9"/>
  <c r="L11"/>
  <c r="L13"/>
  <c r="L15"/>
  <c r="L17"/>
  <c r="L19"/>
  <c r="L21"/>
  <c r="L23"/>
  <c r="L25"/>
  <c r="L27"/>
  <c r="L29"/>
  <c r="L7"/>
  <c r="I8"/>
  <c r="I9"/>
  <c r="I11"/>
  <c r="I13"/>
  <c r="I15"/>
  <c r="I17"/>
  <c r="I19"/>
  <c r="I21"/>
  <c r="I23"/>
  <c r="I25"/>
  <c r="I27"/>
  <c r="I29"/>
  <c r="I7"/>
  <c r="F8"/>
  <c r="F9"/>
  <c r="F11"/>
  <c r="F13"/>
  <c r="F15"/>
  <c r="F17"/>
  <c r="F19"/>
  <c r="F21"/>
  <c r="F23"/>
  <c r="F25"/>
  <c r="F27"/>
  <c r="F29"/>
  <c r="F7"/>
  <c r="W8"/>
  <c r="AD8" s="1"/>
  <c r="W9"/>
  <c r="AD9" s="1"/>
  <c r="W11"/>
  <c r="AD11" s="1"/>
  <c r="W13"/>
  <c r="W15"/>
  <c r="AD15" s="1"/>
  <c r="W17"/>
  <c r="W19"/>
  <c r="AD19" s="1"/>
  <c r="W21"/>
  <c r="W23"/>
  <c r="AD23" s="1"/>
  <c r="W25"/>
  <c r="W27"/>
  <c r="AD27" s="1"/>
  <c r="W29"/>
  <c r="AD29" s="1"/>
  <c r="D30"/>
  <c r="D28"/>
  <c r="D26"/>
  <c r="D24"/>
  <c r="D22"/>
  <c r="D20"/>
  <c r="D18"/>
  <c r="D16"/>
  <c r="D14"/>
  <c r="D12"/>
  <c r="D10"/>
  <c r="E34" i="2"/>
  <c r="AC79"/>
  <c r="AC81"/>
  <c r="AC83"/>
  <c r="AC85"/>
  <c r="AC87"/>
  <c r="AC89"/>
  <c r="AC91"/>
  <c r="AC93"/>
  <c r="AC95"/>
  <c r="AC97"/>
  <c r="AC99"/>
  <c r="AC77"/>
  <c r="AA80"/>
  <c r="AA82"/>
  <c r="AA84"/>
  <c r="AA86"/>
  <c r="AA88"/>
  <c r="AA90"/>
  <c r="AA92"/>
  <c r="AA94"/>
  <c r="AA96"/>
  <c r="Z82"/>
  <c r="Z84"/>
  <c r="Z86"/>
  <c r="Z88"/>
  <c r="Z90"/>
  <c r="Z92"/>
  <c r="Z94"/>
  <c r="Z96"/>
  <c r="Z98"/>
  <c r="Z77"/>
  <c r="Z80" s="1"/>
  <c r="Y82"/>
  <c r="Y84"/>
  <c r="Y86"/>
  <c r="Y88"/>
  <c r="Y90"/>
  <c r="Y92"/>
  <c r="Y94"/>
  <c r="Y96"/>
  <c r="Y98"/>
  <c r="Y100"/>
  <c r="Y77"/>
  <c r="Y80" s="1"/>
  <c r="X82"/>
  <c r="X84"/>
  <c r="X86"/>
  <c r="X88"/>
  <c r="X90"/>
  <c r="X92"/>
  <c r="X94"/>
  <c r="X96"/>
  <c r="X98"/>
  <c r="X100"/>
  <c r="X77"/>
  <c r="X80" s="1"/>
  <c r="V82"/>
  <c r="V84"/>
  <c r="V86"/>
  <c r="V88"/>
  <c r="V90"/>
  <c r="V92"/>
  <c r="V94"/>
  <c r="V96"/>
  <c r="V98"/>
  <c r="V100"/>
  <c r="V77"/>
  <c r="V80" s="1"/>
  <c r="W100"/>
  <c r="U100"/>
  <c r="W98"/>
  <c r="U98"/>
  <c r="W96"/>
  <c r="U96"/>
  <c r="W94"/>
  <c r="U94"/>
  <c r="W92"/>
  <c r="U92"/>
  <c r="W90"/>
  <c r="U90"/>
  <c r="W88"/>
  <c r="U88"/>
  <c r="W86"/>
  <c r="U86"/>
  <c r="W84"/>
  <c r="U84"/>
  <c r="W82"/>
  <c r="U82"/>
  <c r="W80"/>
  <c r="U80"/>
  <c r="U69"/>
  <c r="AB69"/>
  <c r="AA69"/>
  <c r="Z69"/>
  <c r="Y69"/>
  <c r="X69"/>
  <c r="V69"/>
  <c r="W69"/>
  <c r="AB70"/>
  <c r="Z70"/>
  <c r="Y70"/>
  <c r="X70"/>
  <c r="W70"/>
  <c r="AA70"/>
  <c r="U70"/>
  <c r="E29"/>
  <c r="F29"/>
  <c r="F34"/>
  <c r="C34"/>
  <c r="H28"/>
  <c r="H29" s="1"/>
  <c r="G29"/>
  <c r="C29"/>
  <c r="F33"/>
  <c r="H33"/>
  <c r="G33"/>
  <c r="D33"/>
  <c r="C33"/>
  <c r="H55" i="1"/>
  <c r="AB28" i="2"/>
  <c r="AA28"/>
  <c r="Z28"/>
  <c r="Y28"/>
  <c r="X28"/>
  <c r="W28"/>
  <c r="V28"/>
  <c r="U28"/>
  <c r="J126" i="1"/>
  <c r="I126"/>
  <c r="K125"/>
  <c r="J125"/>
  <c r="K124"/>
  <c r="K123"/>
  <c r="J123"/>
  <c r="K122"/>
  <c r="K121"/>
  <c r="J121"/>
  <c r="K120"/>
  <c r="K119"/>
  <c r="J119"/>
  <c r="K118"/>
  <c r="K117"/>
  <c r="J117"/>
  <c r="K116"/>
  <c r="K115"/>
  <c r="J115"/>
  <c r="K114"/>
  <c r="K113"/>
  <c r="J113"/>
  <c r="K112"/>
  <c r="K111"/>
  <c r="J111"/>
  <c r="K110"/>
  <c r="K109"/>
  <c r="J109"/>
  <c r="K108"/>
  <c r="K107"/>
  <c r="J107"/>
  <c r="K106"/>
  <c r="K105"/>
  <c r="J105"/>
  <c r="K104"/>
  <c r="K103"/>
  <c r="J103"/>
  <c r="K102"/>
  <c r="K100"/>
  <c r="N85"/>
  <c r="M85"/>
  <c r="L85"/>
  <c r="J85"/>
  <c r="I85"/>
  <c r="G55"/>
  <c r="AA98" i="2" l="1"/>
  <c r="AF97"/>
  <c r="AI97"/>
  <c r="AK97"/>
  <c r="F24" i="6"/>
  <c r="F16"/>
  <c r="I10"/>
  <c r="L28"/>
  <c r="O22"/>
  <c r="AH97" i="2"/>
  <c r="AG97"/>
  <c r="AJ97"/>
  <c r="T20" i="13"/>
  <c r="K8" s="1"/>
  <c r="X7" i="6"/>
  <c r="AE7" s="1"/>
  <c r="AC100" i="2"/>
  <c r="AC92"/>
  <c r="AC84"/>
  <c r="X15" i="6"/>
  <c r="AE15" s="1"/>
  <c r="AC24"/>
  <c r="W24"/>
  <c r="AD24" s="1"/>
  <c r="F10"/>
  <c r="L22"/>
  <c r="L14"/>
  <c r="O16"/>
  <c r="R26"/>
  <c r="X8"/>
  <c r="AE8" s="1"/>
  <c r="X71" i="2"/>
  <c r="AC10" i="6"/>
  <c r="AC18"/>
  <c r="AC26"/>
  <c r="F22"/>
  <c r="F14"/>
  <c r="L26"/>
  <c r="L18"/>
  <c r="L10"/>
  <c r="O28"/>
  <c r="O20"/>
  <c r="O12"/>
  <c r="R22"/>
  <c r="R14"/>
  <c r="AB71" i="2"/>
  <c r="AC16" i="6"/>
  <c r="W16"/>
  <c r="AD16" s="1"/>
  <c r="R18"/>
  <c r="V71" i="2"/>
  <c r="W26" i="6"/>
  <c r="AD26" s="1"/>
  <c r="W18"/>
  <c r="AD18" s="1"/>
  <c r="I30"/>
  <c r="I22"/>
  <c r="I14"/>
  <c r="L24"/>
  <c r="L16"/>
  <c r="O26"/>
  <c r="O18"/>
  <c r="O10"/>
  <c r="R28"/>
  <c r="R20"/>
  <c r="R12"/>
  <c r="U30"/>
  <c r="U22"/>
  <c r="U14"/>
  <c r="AA12"/>
  <c r="U10"/>
  <c r="AA26"/>
  <c r="AA18"/>
  <c r="T21" i="13"/>
  <c r="N8" s="1"/>
  <c r="T22"/>
  <c r="Q8" s="1"/>
  <c r="I33" i="2"/>
  <c r="U71"/>
  <c r="Y71"/>
  <c r="AC12" i="6"/>
  <c r="AC20"/>
  <c r="AC28"/>
  <c r="K127" i="1"/>
  <c r="I28" i="2"/>
  <c r="I34" s="1"/>
  <c r="AC14" i="6"/>
  <c r="AC22"/>
  <c r="AC30"/>
  <c r="R10"/>
  <c r="X23"/>
  <c r="AE23" s="1"/>
  <c r="AA22"/>
  <c r="AA71" i="2"/>
  <c r="K126" i="1"/>
  <c r="H34" i="2"/>
  <c r="D29"/>
  <c r="W71"/>
  <c r="Z71"/>
  <c r="AC98"/>
  <c r="AC90"/>
  <c r="AC82"/>
  <c r="G34"/>
  <c r="I28" i="6"/>
  <c r="I20"/>
  <c r="I12"/>
  <c r="L30"/>
  <c r="U28"/>
  <c r="U20"/>
  <c r="U12"/>
  <c r="X29"/>
  <c r="AE29" s="1"/>
  <c r="X21"/>
  <c r="AE21" s="1"/>
  <c r="X13"/>
  <c r="AE13" s="1"/>
  <c r="W10"/>
  <c r="AD10" s="1"/>
  <c r="L12"/>
  <c r="F12"/>
  <c r="W14"/>
  <c r="AD14" s="1"/>
  <c r="R16"/>
  <c r="L20"/>
  <c r="F20"/>
  <c r="W22"/>
  <c r="AD22" s="1"/>
  <c r="R24"/>
  <c r="F28"/>
  <c r="AI99" i="2"/>
  <c r="AG99"/>
  <c r="W12" i="6"/>
  <c r="AD12" s="1"/>
  <c r="F18"/>
  <c r="W20"/>
  <c r="AD20" s="1"/>
  <c r="O24"/>
  <c r="F26"/>
  <c r="W28"/>
  <c r="AD28" s="1"/>
  <c r="W30"/>
  <c r="AD30" s="1"/>
  <c r="AD25"/>
  <c r="AD21"/>
  <c r="AD17"/>
  <c r="AD13"/>
  <c r="AF77" i="2"/>
  <c r="AL99"/>
  <c r="AH99"/>
  <c r="J127" i="1"/>
  <c r="D34" i="2"/>
  <c r="AC94"/>
  <c r="AC86"/>
  <c r="F30" i="6"/>
  <c r="I24"/>
  <c r="I16"/>
  <c r="R30"/>
  <c r="U24"/>
  <c r="U16"/>
  <c r="X25"/>
  <c r="X17"/>
  <c r="X9"/>
  <c r="AE9" s="1"/>
  <c r="O14"/>
  <c r="AF99" i="2"/>
  <c r="AG77"/>
  <c r="AI77"/>
  <c r="AJ77"/>
  <c r="AK77"/>
  <c r="AC96"/>
  <c r="AC88"/>
  <c r="AC80"/>
  <c r="I26" i="6"/>
  <c r="I18"/>
  <c r="O30"/>
  <c r="U26"/>
  <c r="U18"/>
  <c r="X27"/>
  <c r="AE27" s="1"/>
  <c r="X19"/>
  <c r="X11"/>
  <c r="AA28"/>
  <c r="AJ99" i="2"/>
  <c r="AA100"/>
  <c r="Z100"/>
  <c r="AA14" i="6"/>
  <c r="AA16"/>
  <c r="AA20"/>
  <c r="AA24"/>
  <c r="AA30"/>
  <c r="AA10"/>
  <c r="K226" i="1"/>
  <c r="O501"/>
  <c r="M463"/>
  <c r="M409"/>
  <c r="M428"/>
  <c r="J297"/>
  <c r="K297"/>
  <c r="L297"/>
  <c r="M297"/>
  <c r="Q297"/>
  <c r="I297"/>
  <c r="J294"/>
  <c r="K294"/>
  <c r="L294"/>
  <c r="M294"/>
  <c r="N294"/>
  <c r="P294"/>
  <c r="I294"/>
  <c r="J262"/>
  <c r="K262"/>
  <c r="L262"/>
  <c r="M262"/>
  <c r="O262"/>
  <c r="I262"/>
  <c r="N262"/>
  <c r="E189"/>
  <c r="E190"/>
  <c r="E191"/>
  <c r="E192"/>
  <c r="E193"/>
  <c r="E194"/>
  <c r="E195"/>
  <c r="E196"/>
  <c r="E197"/>
  <c r="E198"/>
  <c r="E199"/>
  <c r="E200"/>
  <c r="E188"/>
  <c r="D201"/>
  <c r="D202"/>
  <c r="C201"/>
  <c r="C202"/>
  <c r="L179"/>
  <c r="P172" s="1"/>
  <c r="I179"/>
  <c r="K179"/>
  <c r="J55" s="1"/>
  <c r="D65" i="2"/>
  <c r="E65"/>
  <c r="F65"/>
  <c r="G65"/>
  <c r="H65"/>
  <c r="I65"/>
  <c r="J65"/>
  <c r="C65"/>
  <c r="Q33"/>
  <c r="Q34" s="1"/>
  <c r="Q31"/>
  <c r="R31" s="1"/>
  <c r="Q29"/>
  <c r="Q27"/>
  <c r="R27" s="1"/>
  <c r="Q25"/>
  <c r="Q23"/>
  <c r="R23" s="1"/>
  <c r="Q21"/>
  <c r="Q19"/>
  <c r="R19" s="1"/>
  <c r="Q17"/>
  <c r="Q15"/>
  <c r="R15" s="1"/>
  <c r="Q13"/>
  <c r="Q11"/>
  <c r="R11" s="1"/>
  <c r="P10"/>
  <c r="O10"/>
  <c r="Q9"/>
  <c r="R9" s="1"/>
  <c r="P8"/>
  <c r="O8"/>
  <c r="Q7"/>
  <c r="P34"/>
  <c r="O34"/>
  <c r="P32"/>
  <c r="O32"/>
  <c r="P30"/>
  <c r="O30"/>
  <c r="P28"/>
  <c r="O28"/>
  <c r="P26"/>
  <c r="O26"/>
  <c r="P24"/>
  <c r="O24"/>
  <c r="P22"/>
  <c r="O22"/>
  <c r="P20"/>
  <c r="O20"/>
  <c r="P18"/>
  <c r="O18"/>
  <c r="P16"/>
  <c r="O16"/>
  <c r="P14"/>
  <c r="O14"/>
  <c r="P12"/>
  <c r="O12"/>
  <c r="E54" i="1"/>
  <c r="F200"/>
  <c r="F199"/>
  <c r="F198"/>
  <c r="F197"/>
  <c r="F196"/>
  <c r="F195"/>
  <c r="F194"/>
  <c r="F193"/>
  <c r="F192"/>
  <c r="F191"/>
  <c r="F190"/>
  <c r="F189"/>
  <c r="F188"/>
  <c r="N34" i="2"/>
  <c r="M34"/>
  <c r="L34"/>
  <c r="N32"/>
  <c r="M32"/>
  <c r="L32"/>
  <c r="N30"/>
  <c r="M30"/>
  <c r="L30"/>
  <c r="N28"/>
  <c r="M28"/>
  <c r="L28"/>
  <c r="M26"/>
  <c r="L26"/>
  <c r="N24"/>
  <c r="M24"/>
  <c r="L24"/>
  <c r="N22"/>
  <c r="M22"/>
  <c r="L22"/>
  <c r="N20"/>
  <c r="M20"/>
  <c r="L20"/>
  <c r="N18"/>
  <c r="M18"/>
  <c r="L18"/>
  <c r="N16"/>
  <c r="M16"/>
  <c r="L16"/>
  <c r="N14"/>
  <c r="M14"/>
  <c r="L14"/>
  <c r="N12"/>
  <c r="M12"/>
  <c r="L12"/>
  <c r="N10"/>
  <c r="M10"/>
  <c r="L10"/>
  <c r="N8"/>
  <c r="M8"/>
  <c r="L8"/>
  <c r="J63"/>
  <c r="I63"/>
  <c r="H63"/>
  <c r="G63"/>
  <c r="F63"/>
  <c r="E63"/>
  <c r="D63"/>
  <c r="C63"/>
  <c r="J61"/>
  <c r="I61"/>
  <c r="H61"/>
  <c r="G61"/>
  <c r="F61"/>
  <c r="E61"/>
  <c r="D61"/>
  <c r="C61"/>
  <c r="J59"/>
  <c r="I59"/>
  <c r="H59"/>
  <c r="G59"/>
  <c r="F59"/>
  <c r="E59"/>
  <c r="D59"/>
  <c r="C59"/>
  <c r="J57"/>
  <c r="I57"/>
  <c r="H57"/>
  <c r="G57"/>
  <c r="F57"/>
  <c r="E57"/>
  <c r="D57"/>
  <c r="C57"/>
  <c r="J55"/>
  <c r="I55"/>
  <c r="H55"/>
  <c r="G55"/>
  <c r="F55"/>
  <c r="E55"/>
  <c r="D55"/>
  <c r="C55"/>
  <c r="J53"/>
  <c r="I53"/>
  <c r="H53"/>
  <c r="G53"/>
  <c r="F53"/>
  <c r="E53"/>
  <c r="D53"/>
  <c r="C53"/>
  <c r="J51"/>
  <c r="I51"/>
  <c r="H51"/>
  <c r="G51"/>
  <c r="F51"/>
  <c r="E51"/>
  <c r="D51"/>
  <c r="C51"/>
  <c r="J49"/>
  <c r="I49"/>
  <c r="H49"/>
  <c r="G49"/>
  <c r="F49"/>
  <c r="E49"/>
  <c r="D49"/>
  <c r="C49"/>
  <c r="J47"/>
  <c r="I47"/>
  <c r="H47"/>
  <c r="G47"/>
  <c r="F47"/>
  <c r="E47"/>
  <c r="D47"/>
  <c r="C47"/>
  <c r="J45"/>
  <c r="I45"/>
  <c r="H45"/>
  <c r="G45"/>
  <c r="F45"/>
  <c r="E45"/>
  <c r="D45"/>
  <c r="C45"/>
  <c r="J260" i="1"/>
  <c r="K260"/>
  <c r="L260"/>
  <c r="M260"/>
  <c r="N260"/>
  <c r="O260"/>
  <c r="I260"/>
  <c r="K227"/>
  <c r="K228"/>
  <c r="K229"/>
  <c r="K230"/>
  <c r="K231"/>
  <c r="L227"/>
  <c r="L228"/>
  <c r="L229"/>
  <c r="L230"/>
  <c r="L231"/>
  <c r="L226"/>
  <c r="J157"/>
  <c r="K157"/>
  <c r="L157"/>
  <c r="M157"/>
  <c r="N157"/>
  <c r="O157"/>
  <c r="P157"/>
  <c r="I157"/>
  <c r="N139"/>
  <c r="N141"/>
  <c r="M143"/>
  <c r="K145"/>
  <c r="N145"/>
  <c r="K147"/>
  <c r="N147"/>
  <c r="O147"/>
  <c r="J149"/>
  <c r="M149"/>
  <c r="N149"/>
  <c r="L151"/>
  <c r="I153"/>
  <c r="J153"/>
  <c r="K153"/>
  <c r="L153"/>
  <c r="P153"/>
  <c r="J155"/>
  <c r="K155"/>
  <c r="L155"/>
  <c r="P155"/>
  <c r="L126"/>
  <c r="Q124" s="1"/>
  <c r="L125" s="1"/>
  <c r="M126"/>
  <c r="R110" s="1"/>
  <c r="M111" s="1"/>
  <c r="N102"/>
  <c r="I103" s="1"/>
  <c r="N104"/>
  <c r="I105" s="1"/>
  <c r="N106"/>
  <c r="I107" s="1"/>
  <c r="N108"/>
  <c r="I109" s="1"/>
  <c r="N110"/>
  <c r="I111" s="1"/>
  <c r="N112"/>
  <c r="I113" s="1"/>
  <c r="N114"/>
  <c r="I115" s="1"/>
  <c r="N116"/>
  <c r="I117" s="1"/>
  <c r="N118"/>
  <c r="I119" s="1"/>
  <c r="N120"/>
  <c r="I121" s="1"/>
  <c r="N122"/>
  <c r="I123" s="1"/>
  <c r="N124"/>
  <c r="I125" s="1"/>
  <c r="N100"/>
  <c r="L86"/>
  <c r="O85"/>
  <c r="O86" s="1"/>
  <c r="I86"/>
  <c r="J86"/>
  <c r="K86"/>
  <c r="M86"/>
  <c r="N86"/>
  <c r="S84"/>
  <c r="T84"/>
  <c r="U84"/>
  <c r="V84"/>
  <c r="W84"/>
  <c r="X84"/>
  <c r="R84"/>
  <c r="U83"/>
  <c r="S83"/>
  <c r="R83"/>
  <c r="Y84" s="1"/>
  <c r="E47"/>
  <c r="E48"/>
  <c r="E49"/>
  <c r="E50"/>
  <c r="E51"/>
  <c r="E52"/>
  <c r="E53"/>
  <c r="E55"/>
  <c r="E56"/>
  <c r="E46"/>
  <c r="AE26"/>
  <c r="AE24"/>
  <c r="AE22"/>
  <c r="AE20"/>
  <c r="AE18"/>
  <c r="AE16"/>
  <c r="AE14"/>
  <c r="AE12"/>
  <c r="AE10"/>
  <c r="AE8"/>
  <c r="S10"/>
  <c r="S12"/>
  <c r="S14"/>
  <c r="S16"/>
  <c r="S18"/>
  <c r="S20"/>
  <c r="S22"/>
  <c r="S24"/>
  <c r="G24" s="1"/>
  <c r="S26"/>
  <c r="S8"/>
  <c r="P27"/>
  <c r="L27"/>
  <c r="K27"/>
  <c r="J27"/>
  <c r="P25"/>
  <c r="L25"/>
  <c r="K25"/>
  <c r="J25"/>
  <c r="I25"/>
  <c r="L23"/>
  <c r="N21"/>
  <c r="M21"/>
  <c r="J21"/>
  <c r="O19"/>
  <c r="N19"/>
  <c r="K19"/>
  <c r="N17"/>
  <c r="K17"/>
  <c r="M15"/>
  <c r="N13"/>
  <c r="N11"/>
  <c r="G20" l="1"/>
  <c r="G16"/>
  <c r="G12"/>
  <c r="X10" i="6"/>
  <c r="P178" i="1"/>
  <c r="P170"/>
  <c r="X18" i="6"/>
  <c r="I29" i="2"/>
  <c r="N179" i="1"/>
  <c r="P168"/>
  <c r="G22"/>
  <c r="P174"/>
  <c r="F201"/>
  <c r="P176"/>
  <c r="AE10" i="6"/>
  <c r="G14" i="1"/>
  <c r="P167"/>
  <c r="X12" i="6"/>
  <c r="N175" i="1"/>
  <c r="X26" i="6"/>
  <c r="X24"/>
  <c r="AE24" s="1"/>
  <c r="N173" i="1"/>
  <c r="X22" i="6"/>
  <c r="AE22" s="1"/>
  <c r="N171" i="1"/>
  <c r="Q16" i="2"/>
  <c r="X30" i="6"/>
  <c r="AE30" s="1"/>
  <c r="Q8" i="2"/>
  <c r="R34"/>
  <c r="R7"/>
  <c r="Q38"/>
  <c r="Q14"/>
  <c r="R13"/>
  <c r="Q22"/>
  <c r="R21"/>
  <c r="Q30"/>
  <c r="R29"/>
  <c r="G18" i="1"/>
  <c r="G8"/>
  <c r="N177"/>
  <c r="N169"/>
  <c r="X20" i="6"/>
  <c r="AE20" s="1"/>
  <c r="AE18"/>
  <c r="X14"/>
  <c r="AE14" s="1"/>
  <c r="AE19"/>
  <c r="X16"/>
  <c r="AE16" s="1"/>
  <c r="N168" i="1"/>
  <c r="J51"/>
  <c r="J47"/>
  <c r="J43"/>
  <c r="J53"/>
  <c r="J49"/>
  <c r="J52"/>
  <c r="J48"/>
  <c r="J44"/>
  <c r="J45"/>
  <c r="J54"/>
  <c r="J50"/>
  <c r="J46"/>
  <c r="AE11" i="6"/>
  <c r="Q18" i="2"/>
  <c r="R17"/>
  <c r="Q26"/>
  <c r="R25"/>
  <c r="Q24"/>
  <c r="R33"/>
  <c r="G26" i="1"/>
  <c r="G10"/>
  <c r="Q334"/>
  <c r="X28" i="6"/>
  <c r="AE28" s="1"/>
  <c r="AE26"/>
  <c r="AE12"/>
  <c r="AE17"/>
  <c r="AE25"/>
  <c r="P169" i="1"/>
  <c r="L55"/>
  <c r="L54"/>
  <c r="L53"/>
  <c r="L52"/>
  <c r="L51"/>
  <c r="L50"/>
  <c r="L49"/>
  <c r="L48"/>
  <c r="L47"/>
  <c r="L46"/>
  <c r="L45"/>
  <c r="L44"/>
  <c r="L43"/>
  <c r="Q12" i="2"/>
  <c r="Q10"/>
  <c r="N126" i="1"/>
  <c r="N167"/>
  <c r="N178"/>
  <c r="N176"/>
  <c r="N174"/>
  <c r="N172"/>
  <c r="N170"/>
  <c r="P179"/>
  <c r="P177"/>
  <c r="P175"/>
  <c r="P173"/>
  <c r="P171"/>
  <c r="I127"/>
  <c r="O294"/>
  <c r="E201"/>
  <c r="Q20" i="2"/>
  <c r="Q28"/>
  <c r="Q32"/>
  <c r="Q108" i="1"/>
  <c r="L109" s="1"/>
  <c r="Q104"/>
  <c r="L105" s="1"/>
  <c r="Q118"/>
  <c r="L119" s="1"/>
  <c r="Q114"/>
  <c r="L115" s="1"/>
  <c r="Q116"/>
  <c r="L117" s="1"/>
  <c r="Q102"/>
  <c r="L103" s="1"/>
  <c r="Q126"/>
  <c r="Q120"/>
  <c r="L121" s="1"/>
  <c r="R120"/>
  <c r="M121" s="1"/>
  <c r="R104"/>
  <c r="M105" s="1"/>
  <c r="R114"/>
  <c r="M115" s="1"/>
  <c r="R124"/>
  <c r="M125" s="1"/>
  <c r="R108"/>
  <c r="M109" s="1"/>
  <c r="R118"/>
  <c r="M119" s="1"/>
  <c r="R102"/>
  <c r="M103" s="1"/>
  <c r="Q110"/>
  <c r="L111" s="1"/>
  <c r="Q122"/>
  <c r="L123" s="1"/>
  <c r="Q106"/>
  <c r="L107" s="1"/>
  <c r="Q100"/>
  <c r="Q112"/>
  <c r="L113" s="1"/>
  <c r="R100"/>
  <c r="R112"/>
  <c r="M113" s="1"/>
  <c r="R122"/>
  <c r="M123" s="1"/>
  <c r="R106"/>
  <c r="M107" s="1"/>
  <c r="R116"/>
  <c r="M117" s="1"/>
  <c r="R126"/>
  <c r="L127" l="1"/>
  <c r="M127"/>
  <c r="S116"/>
  <c r="N117" s="1"/>
  <c r="S122"/>
  <c r="N123" s="1"/>
  <c r="S120"/>
  <c r="N121" s="1"/>
  <c r="S106"/>
  <c r="N107" s="1"/>
  <c r="S104"/>
  <c r="N105" s="1"/>
  <c r="S100"/>
  <c r="S118"/>
  <c r="N119" s="1"/>
  <c r="S112"/>
  <c r="N113" s="1"/>
  <c r="S102"/>
  <c r="N103" s="1"/>
  <c r="S126"/>
  <c r="S124"/>
  <c r="N125" s="1"/>
  <c r="S110"/>
  <c r="N111" s="1"/>
  <c r="S108"/>
  <c r="N109" s="1"/>
  <c r="S114"/>
  <c r="N115" s="1"/>
  <c r="N127" l="1"/>
</calcChain>
</file>

<file path=xl/sharedStrings.xml><?xml version="1.0" encoding="utf-8"?>
<sst xmlns="http://schemas.openxmlformats.org/spreadsheetml/2006/main" count="1188" uniqueCount="324">
  <si>
    <t>Year</t>
  </si>
  <si>
    <t>Iron Ore</t>
  </si>
  <si>
    <t>Coal</t>
  </si>
  <si>
    <t>Fertiliser &amp; FRM</t>
  </si>
  <si>
    <t>Others</t>
  </si>
  <si>
    <t>Total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</si>
  <si>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</si>
  <si>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</si>
  <si>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</si>
  <si>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</si>
  <si>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</si>
  <si>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</si>
  <si>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</si>
  <si>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</si>
  <si>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</si>
  <si>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</si>
  <si>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r>
      <t>Table 7: Commodity-wise Cargo Traffic Handled  at  Major  Ports  (Million Tonnes</t>
    </r>
    <r>
      <rPr>
        <sz val="10"/>
        <color rgb="FF000000"/>
        <rFont val="Arial"/>
        <family val="2"/>
      </rPr>
      <t>)</t>
    </r>
  </si>
  <si>
    <t>POL         (Crude &amp; Products)</t>
  </si>
  <si>
    <t>Fertilizer</t>
  </si>
  <si>
    <t>Fertilizer Raw Material Dry</t>
  </si>
  <si>
    <t>Coal*</t>
  </si>
  <si>
    <t>Food-grains</t>
  </si>
  <si>
    <t>(-11.49)</t>
  </si>
  <si>
    <t>(-0.90)</t>
  </si>
  <si>
    <t>(-13.07)</t>
  </si>
  <si>
    <t>(-16.41)</t>
  </si>
  <si>
    <t>(-3.5)</t>
  </si>
  <si>
    <t>(-19.90)</t>
  </si>
  <si>
    <t>(-14.71)</t>
  </si>
  <si>
    <t>(-9.97)</t>
  </si>
  <si>
    <t>Note: Figures in parenthesis indicate growth rate over the previous year.    *Thermal Coal &amp; Coking Coal</t>
  </si>
  <si>
    <t>Table 15 : Commodity -wise Traffic Handled at Non-major Ports</t>
  </si>
  <si>
    <t>Traffic Handled (Million Tonnes)</t>
  </si>
  <si>
    <t>POL &amp; its Products</t>
  </si>
  <si>
    <t xml:space="preserve">Iron Ore </t>
  </si>
  <si>
    <t>Building</t>
  </si>
  <si>
    <t>Material</t>
  </si>
  <si>
    <t>(Note : Figures in parentheses indicate percentage share of cargo handled to total cargo handled-row-wise).</t>
  </si>
  <si>
    <t>Total - Without  Iron  Ore</t>
  </si>
  <si>
    <t>Total without Iron Ore</t>
  </si>
  <si>
    <t xml:space="preserve">Major </t>
  </si>
  <si>
    <t xml:space="preserve">Non-Major    Total - Without Iron Ore </t>
  </si>
  <si>
    <t>Major+Non Major</t>
  </si>
  <si>
    <t>(Million Tonnes)</t>
  </si>
  <si>
    <t>Name of the State</t>
  </si>
  <si>
    <t>Major Ports</t>
  </si>
  <si>
    <t>Non-Major Ports</t>
  </si>
  <si>
    <t>1. Gujarat</t>
  </si>
  <si>
    <t>2. Maharashtra</t>
  </si>
  <si>
    <t>3. Goa</t>
  </si>
  <si>
    <t>4. Karnataka</t>
  </si>
  <si>
    <t>5. Kerala</t>
  </si>
  <si>
    <t>6. Tamil Nadu</t>
  </si>
  <si>
    <t>7. Andhra Pradesh</t>
  </si>
  <si>
    <t>8. Orissa</t>
  </si>
  <si>
    <t>9. West Bengal</t>
  </si>
  <si>
    <t>-</t>
  </si>
  <si>
    <t>10. Others(a)</t>
  </si>
  <si>
    <t>TOTAL</t>
  </si>
  <si>
    <t>Table  5 : Commodity-wise Traffic Handled by All Ports (Million Tonnes)</t>
  </si>
  <si>
    <t xml:space="preserve">Commodity-wise Traffic  </t>
  </si>
  <si>
    <t>POL &amp; products</t>
  </si>
  <si>
    <t>Cement &amp; clinker</t>
  </si>
  <si>
    <t>(-6.33)</t>
  </si>
  <si>
    <t>2013-14</t>
  </si>
  <si>
    <t>Note : Figures in brackets  indicate the year-on-year growth rate; FRM : Fertilizer raw materials.</t>
  </si>
  <si>
    <t xml:space="preserve">Table 6 : Major Port wise-share  of cargo handled  </t>
  </si>
  <si>
    <t>Port</t>
  </si>
  <si>
    <t>Overseas</t>
  </si>
  <si>
    <t>Coastal</t>
  </si>
  <si>
    <t>Kolkata Dock System</t>
  </si>
  <si>
    <t>Haldia  Dock Complex</t>
  </si>
  <si>
    <t>Paradip</t>
  </si>
  <si>
    <t>Visakhapatnam</t>
  </si>
  <si>
    <t>Chennai</t>
  </si>
  <si>
    <t>Ennore</t>
  </si>
  <si>
    <t>Tuticorin</t>
  </si>
  <si>
    <t>Cochin</t>
  </si>
  <si>
    <t xml:space="preserve"> New Mangalore</t>
  </si>
  <si>
    <t>Mormugao</t>
  </si>
  <si>
    <t>J. L. Nehru</t>
  </si>
  <si>
    <t>Mumbai</t>
  </si>
  <si>
    <t>Kandla</t>
  </si>
  <si>
    <t>The figures in parenthesis indicate percent share in total traffic in respective traffic categories at major ports</t>
  </si>
  <si>
    <r>
      <t>Table 8 :  Major Port-wise Container Traffic Handled (in TEUs)</t>
    </r>
    <r>
      <rPr>
        <sz val="10.5"/>
        <color rgb="FF000000"/>
        <rFont val="Arial"/>
        <family val="2"/>
      </rPr>
      <t xml:space="preserve">                                                                                                                      </t>
    </r>
  </si>
  <si>
    <t>Name of the Port</t>
  </si>
  <si>
    <t>000’ Tonnes</t>
  </si>
  <si>
    <t>TEUs</t>
  </si>
  <si>
    <t>Haldia Dock Complex</t>
  </si>
  <si>
    <t xml:space="preserve">Visakhapatnam </t>
  </si>
  <si>
    <t xml:space="preserve">Cochin </t>
  </si>
  <si>
    <t>New Mangalore</t>
  </si>
  <si>
    <t>ALL PORTS</t>
  </si>
  <si>
    <t>Capacity</t>
  </si>
  <si>
    <t>Traffic</t>
  </si>
  <si>
    <t>Capacity Utilisation(%)</t>
  </si>
  <si>
    <t>Table  12 : Average Parcel Size and Turn Round Time</t>
  </si>
  <si>
    <t>Type of Vessel</t>
  </si>
  <si>
    <t>Average Parcel Size (Tonnes)</t>
  </si>
  <si>
    <t>(Cargo/vessels)</t>
  </si>
  <si>
    <t>Average TRT (Days)</t>
  </si>
  <si>
    <t>Dry Bulk (Mech.)</t>
  </si>
  <si>
    <t>Dry Bulk (Conv.)</t>
  </si>
  <si>
    <t>Liquid Bulk</t>
  </si>
  <si>
    <t>Break Bulk</t>
  </si>
  <si>
    <t>Container</t>
  </si>
  <si>
    <t>All Types</t>
  </si>
  <si>
    <t>Table 14 : Average Out Put Per Ship Berth-day by Vessel Type</t>
  </si>
  <si>
    <t>Average Out Put Per Ship Berth-day (Tonnes)</t>
  </si>
  <si>
    <t>%change</t>
  </si>
  <si>
    <t>Table 16 : Traffic Handled by Non-Major Ports – Maritime State-wise</t>
  </si>
  <si>
    <t>Gujarat</t>
  </si>
  <si>
    <t>Mahara-shtra</t>
  </si>
  <si>
    <t>AP</t>
  </si>
  <si>
    <t>Goa</t>
  </si>
  <si>
    <t>Tamil Nadu</t>
  </si>
  <si>
    <t>Karnataka</t>
  </si>
  <si>
    <t>Note:    (1) Figures in parentheses indicate the year-on-year percentage growth in each column.</t>
  </si>
  <si>
    <t>(2) ‘Others’ consists of non-major ports in all other maritime States/UTs</t>
  </si>
  <si>
    <r>
      <t xml:space="preserve">Table 17 : </t>
    </r>
    <r>
      <rPr>
        <b/>
        <sz val="11"/>
        <color rgb="FF000000"/>
        <rFont val="Arial"/>
        <family val="2"/>
      </rPr>
      <t>Share of Traffic Handled by Non-Major Ports  to total traffic at non major ports  – Maritime State-wise</t>
    </r>
  </si>
  <si>
    <t>Traffic Handled  ( In  Percentage)</t>
  </si>
  <si>
    <t xml:space="preserve">Gujarat </t>
  </si>
  <si>
    <t xml:space="preserve">Maharashtra </t>
  </si>
  <si>
    <t xml:space="preserve">Goa </t>
  </si>
  <si>
    <t xml:space="preserve">Note:    (1) ‘Others’ consists of non-major ports in all other maritime States/UTs     </t>
  </si>
  <si>
    <t xml:space="preserve">Table 18 :  Gujarat : Traffic Achieved at Select Non-Major Ports </t>
  </si>
  <si>
    <t>Traffic Handled  (Million Tonnes)</t>
  </si>
  <si>
    <t>Sikka</t>
  </si>
  <si>
    <t>Magdalla</t>
  </si>
  <si>
    <t>Jafara-bad</t>
  </si>
  <si>
    <t>Bedi</t>
  </si>
  <si>
    <t>Mul-Dwarka</t>
  </si>
  <si>
    <t>GAPL</t>
  </si>
  <si>
    <t xml:space="preserve">Dahej </t>
  </si>
  <si>
    <t>Pipavav      (Inc. GPPL)</t>
  </si>
  <si>
    <t>Table 19 :  Commodity-wise Traffic Handled at Gujarat Non-Major Ports</t>
  </si>
  <si>
    <t>POL &amp; Products</t>
  </si>
  <si>
    <t>Building Material</t>
  </si>
  <si>
    <t>&amp;  FRM</t>
  </si>
  <si>
    <t>6..08</t>
  </si>
  <si>
    <t>Table  20 : Traffic Achieved at Select Non-Major Ports – Andhra Pradesh</t>
  </si>
  <si>
    <t>Traffic Handled (Million Tonnes) – Port Wise</t>
  </si>
  <si>
    <t>Rawa</t>
  </si>
  <si>
    <t>Kakinada</t>
  </si>
  <si>
    <t>Anchorage</t>
  </si>
  <si>
    <t>Kakinada Deep Water Port</t>
  </si>
  <si>
    <t>Ganga-</t>
  </si>
  <si>
    <t>varam</t>
  </si>
  <si>
    <t>Krishna-</t>
  </si>
  <si>
    <t>patnam</t>
  </si>
  <si>
    <t>2006-07*</t>
  </si>
  <si>
    <t>Table 21 :  Commodity-wise Traffic Handled at Andhra  Pradesh Non-Major Ports</t>
  </si>
  <si>
    <t xml:space="preserve">Iron ore </t>
  </si>
  <si>
    <t>Fertilizer &amp; FRM</t>
  </si>
  <si>
    <t xml:space="preserve"> -</t>
  </si>
  <si>
    <t>Table  22 : Traffic Achieved at Select Non-Major Ports – Maharashtra</t>
  </si>
  <si>
    <t>Dharamtar</t>
  </si>
  <si>
    <t>Revdanda</t>
  </si>
  <si>
    <t>Ulwa-Belapur</t>
  </si>
  <si>
    <t>Ratnagiri</t>
  </si>
  <si>
    <t>Table  23 : Commodity-wise Traffic Achieved at Non-Major Ports – Maharashtra</t>
  </si>
  <si>
    <t xml:space="preserve"> </t>
  </si>
  <si>
    <t>Table  24 : Commodity-wise Traffic Handled at Non-Major Ports – GOA</t>
  </si>
  <si>
    <t xml:space="preserve"> Year</t>
  </si>
  <si>
    <t>Iron &amp; Steel</t>
  </si>
  <si>
    <t>Neg.</t>
  </si>
  <si>
    <t xml:space="preserve">          -</t>
  </si>
  <si>
    <t>Table  25 : Traffic Achieved at Select Non-Major Ports – Karnataka</t>
  </si>
  <si>
    <t>Karwar</t>
  </si>
  <si>
    <t>Old Mangalore</t>
  </si>
  <si>
    <t>Malpe</t>
  </si>
  <si>
    <t>Belekri</t>
  </si>
  <si>
    <t xml:space="preserve">      -</t>
  </si>
  <si>
    <t>Table 26 : Commodity-wise Traffic Handled at Non-Major Ports – Karnataka</t>
  </si>
  <si>
    <t>POL &amp;</t>
  </si>
  <si>
    <t>Products</t>
  </si>
  <si>
    <t>Granite</t>
  </si>
  <si>
    <t>Fertiliser</t>
  </si>
  <si>
    <t>&amp; FRM</t>
  </si>
  <si>
    <t>Salt</t>
  </si>
  <si>
    <t xml:space="preserve">     -</t>
  </si>
  <si>
    <t>Table 27 : Traffic Achieved at Select Non-Major Ports-Tamil Nadu</t>
  </si>
  <si>
    <t>PY-3</t>
  </si>
  <si>
    <t>Naga-</t>
  </si>
  <si>
    <t>pattinam</t>
  </si>
  <si>
    <t>Tirukka-</t>
  </si>
  <si>
    <t>daiyur</t>
  </si>
  <si>
    <t>Cudda-</t>
  </si>
  <si>
    <t>lore</t>
  </si>
  <si>
    <t>2009-10*</t>
  </si>
  <si>
    <t>2010-11*</t>
  </si>
  <si>
    <t>Table 28 : Commodity-wise Traffic Handled at Non-Major Ports-Tamil Nadu</t>
  </si>
  <si>
    <t>Fertiliser &amp;</t>
  </si>
  <si>
    <t>FRM</t>
  </si>
  <si>
    <t>Edible Oil</t>
  </si>
  <si>
    <t>Table 1: Growth in Cargo handled at Indian Ports and related parameters (in %)</t>
  </si>
  <si>
    <t>Parameters</t>
  </si>
  <si>
    <t>April-September</t>
  </si>
  <si>
    <t>2014-15</t>
  </si>
  <si>
    <t>Trends in India’s Select : Macro Parameters</t>
  </si>
  <si>
    <t xml:space="preserve">I. Total Cargo </t>
  </si>
  <si>
    <t xml:space="preserve"> (a) Major Ports</t>
  </si>
  <si>
    <t xml:space="preserve"> (b) Non Major Ports</t>
  </si>
  <si>
    <t>II.GDP overall</t>
  </si>
  <si>
    <t xml:space="preserve"> (a) Agriculture</t>
  </si>
  <si>
    <t xml:space="preserve"> (b) Industry</t>
  </si>
  <si>
    <t xml:space="preserve"> (c) Services</t>
  </si>
  <si>
    <t>III. Foreign Trade</t>
  </si>
  <si>
    <t xml:space="preserve"> (a) Export in $ value</t>
  </si>
  <si>
    <t>4.1(P)</t>
  </si>
  <si>
    <t xml:space="preserve"> (b) Import  in $ value</t>
  </si>
  <si>
    <t>-8.3(P)</t>
  </si>
  <si>
    <t>-1.8</t>
  </si>
  <si>
    <t>Trends in Select : Global  Indicators</t>
  </si>
  <si>
    <t>IV. World Output</t>
  </si>
  <si>
    <t>3.3F</t>
  </si>
  <si>
    <t>3.8f</t>
  </si>
  <si>
    <t xml:space="preserve"> (a) Advanced Economies</t>
  </si>
  <si>
    <t>1.8F</t>
  </si>
  <si>
    <t>2.3f</t>
  </si>
  <si>
    <t xml:space="preserve"> (b) Developing Economies </t>
  </si>
  <si>
    <t>4.4F</t>
  </si>
  <si>
    <t>5.0f</t>
  </si>
  <si>
    <t>V. World Economic Growth</t>
  </si>
  <si>
    <t>2.7F</t>
  </si>
  <si>
    <t>4.7F</t>
  </si>
  <si>
    <t xml:space="preserve">(c ) Transition Economies </t>
  </si>
  <si>
    <t>1.3F</t>
  </si>
  <si>
    <t>VI. World  Trade Volume (Goods)</t>
  </si>
  <si>
    <t>3.8F</t>
  </si>
  <si>
    <t>5.1f</t>
  </si>
  <si>
    <t>VII. Export Volume growth (Goods)</t>
  </si>
  <si>
    <t>3.6F</t>
  </si>
  <si>
    <t>4.6f</t>
  </si>
  <si>
    <t>VIII. Import Volume (Goods)</t>
  </si>
  <si>
    <t>3.4F</t>
  </si>
  <si>
    <t>4.5f</t>
  </si>
  <si>
    <t>4.5F</t>
  </si>
  <si>
    <t>6.2f</t>
  </si>
  <si>
    <t>IX. World Seaborne Trade*</t>
  </si>
  <si>
    <t>NA</t>
  </si>
  <si>
    <t xml:space="preserve"> (a) Goods Loaded</t>
  </si>
  <si>
    <t xml:space="preserve"> (b) Goods Unloaded</t>
  </si>
  <si>
    <t>I. Based on data from Major Ports and Non Major Ports</t>
  </si>
  <si>
    <t>II. Based on gross domestic product (GDP) at Factor Cost (2004-05 Prices), Central Statistical Organization;</t>
  </si>
  <si>
    <t xml:space="preserve">III. Based on Department of Commerce, DGCI&amp;S and RBI Bulletin </t>
  </si>
  <si>
    <t xml:space="preserve">IV,VI, VII &amp; VIII Based on World Economic Outlook, October ,2014, IMF; </t>
  </si>
  <si>
    <t>V &amp; IX. Based on Review of Maritime Transport, 2014(November), UNCTAD</t>
  </si>
  <si>
    <r>
      <t xml:space="preserve">Note </t>
    </r>
    <r>
      <rPr>
        <sz val="10"/>
        <color theme="1"/>
        <rFont val="Times New Roman"/>
        <family val="1"/>
      </rPr>
      <t xml:space="preserve">: MT: Million  Tonnes;  For item Nos  IV, VI, VII &amp;VIII year 2009-10 refers to calendar year  2009 and so on; </t>
    </r>
    <r>
      <rPr>
        <b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refers to forecast for 2014 and </t>
    </r>
    <r>
      <rPr>
        <b/>
        <sz val="10"/>
        <color theme="1"/>
        <rFont val="Times New Roman"/>
        <family val="1"/>
      </rPr>
      <t>f</t>
    </r>
    <r>
      <rPr>
        <sz val="10"/>
        <color theme="1"/>
        <rFont val="Times New Roman"/>
        <family val="1"/>
      </rPr>
      <t xml:space="preserve"> refers to forecast for the year 2015; </t>
    </r>
  </si>
  <si>
    <t>* growth in total goods loaded plus unloaded;  NA ; Not Available (P) Provisional</t>
  </si>
  <si>
    <t>KDS</t>
  </si>
  <si>
    <t>HDC</t>
  </si>
  <si>
    <t>PPT</t>
  </si>
  <si>
    <t>VPT</t>
  </si>
  <si>
    <t>Chpt</t>
  </si>
  <si>
    <t>TPT</t>
  </si>
  <si>
    <t>CoPT</t>
  </si>
  <si>
    <t>NMPT</t>
  </si>
  <si>
    <t>MoPT</t>
  </si>
  <si>
    <t>JNPT</t>
  </si>
  <si>
    <t>MbPT</t>
  </si>
  <si>
    <t>KPT</t>
  </si>
  <si>
    <t>2013-2014</t>
  </si>
  <si>
    <t>(-3.34)</t>
  </si>
  <si>
    <t>The figures in parenthesis indicate percent share of the port in total traffic in respective traffic categories at major ports</t>
  </si>
  <si>
    <t>2014-2015</t>
  </si>
  <si>
    <t>Table 9 : Major Port-wise Capacity Utilization During 2014-15 (Million Tonnes)</t>
  </si>
  <si>
    <t>Source : Table 2.1.21 &amp; 2.1.19</t>
  </si>
  <si>
    <t>2015-16</t>
  </si>
  <si>
    <t>Table 3 : Growth in Cargo Traffic at Indian Ports</t>
  </si>
  <si>
    <t>OT</t>
  </si>
  <si>
    <t>CT</t>
  </si>
  <si>
    <t>TT</t>
  </si>
  <si>
    <t>Non Major</t>
  </si>
  <si>
    <t>All Ports</t>
  </si>
  <si>
    <t>Note:  OT - overseas cargo traffic;  CT - Coastal cargo traffic;  TT - Total cargo traffic</t>
  </si>
  <si>
    <t>Major</t>
  </si>
  <si>
    <t>Non-Major</t>
  </si>
  <si>
    <t xml:space="preserve">Total </t>
  </si>
  <si>
    <t>Table 7: Commodity-wise Cargo Traffic Handled  at  Major  Ports  (Million Tonnes)</t>
  </si>
  <si>
    <t> All Ports</t>
  </si>
  <si>
    <t>All Ports (major + Non - Major )</t>
  </si>
  <si>
    <t>POL  (Crude &amp; Products)</t>
  </si>
  <si>
    <r>
      <t>Table 7: Commodity-wise Cargo Traffic Handled  at  Major  Ports  (Million Tonnes</t>
    </r>
    <r>
      <rPr>
        <sz val="10"/>
        <color rgb="FFFF0000"/>
        <rFont val="Arial"/>
        <family val="2"/>
      </rPr>
      <t>)</t>
    </r>
  </si>
  <si>
    <r>
      <t>Table 7: Commodity-wise Cargo Traffic Handled  at  Major  Ports  (Million Tonnes</t>
    </r>
    <r>
      <rPr>
        <b/>
        <sz val="10"/>
        <color rgb="FFFF0000"/>
        <rFont val="Arial"/>
        <family val="2"/>
      </rPr>
      <t>)</t>
    </r>
  </si>
  <si>
    <t xml:space="preserve"> (Million Tonnes)</t>
  </si>
  <si>
    <t>Note: Figures in parenthesis indicate growth  over the previous year.    *Thermal Coal &amp; Coking Coal</t>
  </si>
  <si>
    <t>% age change</t>
  </si>
  <si>
    <t>Share  : Commodity -wise Traffic Handled at Non-major Ports</t>
  </si>
  <si>
    <t>000' Tonnes</t>
  </si>
  <si>
    <t>Table 4 : State-wise Cargo Traffic at Indian Ports during 2015-16</t>
  </si>
  <si>
    <t>Source:   Major Ports</t>
  </si>
  <si>
    <t>SMP Kolkata D.S</t>
  </si>
  <si>
    <t>SMP Haldia D.C</t>
  </si>
  <si>
    <t>2021-22</t>
  </si>
  <si>
    <t>2022-23</t>
  </si>
  <si>
    <t>2023-24</t>
  </si>
  <si>
    <t>S.No.</t>
  </si>
  <si>
    <t xml:space="preserve">SMP Kolkata </t>
  </si>
  <si>
    <t>Kamarajar Port Limited</t>
  </si>
  <si>
    <t>Paradip Port Authority</t>
  </si>
  <si>
    <t>2024-25</t>
  </si>
  <si>
    <t>Vishakhapatnam Port Authority</t>
  </si>
  <si>
    <t>Chennai Port authority</t>
  </si>
  <si>
    <t>V.O.Chidambaranar Port Authority</t>
  </si>
  <si>
    <t>Cochin Port Authority</t>
  </si>
  <si>
    <t>New Mangalore Port Authority</t>
  </si>
  <si>
    <t>Mormugoa  port Authority</t>
  </si>
  <si>
    <t>J.L.Nehru port Authority</t>
  </si>
  <si>
    <t>Mumbai port Authority</t>
  </si>
  <si>
    <t>Deendayal port authority</t>
  </si>
  <si>
    <t xml:space="preserve">Average Pre-Berthing Detention                </t>
  </si>
  <si>
    <t>(in hours)</t>
  </si>
  <si>
    <t>2016-17</t>
  </si>
  <si>
    <t>2017-18</t>
  </si>
  <si>
    <t>2018-19</t>
  </si>
  <si>
    <t>2019-20</t>
  </si>
  <si>
    <t>(a) Exclusive NSICT.</t>
  </si>
  <si>
    <t>2002-03</t>
  </si>
  <si>
    <t>2001-02</t>
  </si>
  <si>
    <t>22.08(a)</t>
  </si>
  <si>
    <t>2020-21</t>
  </si>
  <si>
    <t>(April-September)   2025-26(P)</t>
  </si>
  <si>
    <t>(P) : Provisional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</si>
</sst>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\(0.00\)"/>
    <numFmt numFmtId="166" formatCode="0.000"/>
  </numFmts>
  <fonts count="5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9.5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8.5"/>
      <color rgb="FF000000"/>
      <name val="Arial"/>
      <family val="2"/>
    </font>
    <font>
      <sz val="9.5"/>
      <color rgb="FF000000"/>
      <name val="Arial"/>
      <family val="2"/>
    </font>
    <font>
      <sz val="8.5"/>
      <color rgb="FF000000"/>
      <name val="Arial"/>
      <family val="2"/>
    </font>
    <font>
      <sz val="8.5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Century Gothic"/>
      <family val="2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.5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9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1.5"/>
      <name val="Arial"/>
      <family val="2"/>
    </font>
    <font>
      <sz val="11"/>
      <color rgb="FFFF0000"/>
      <name val="Calibri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1"/>
      <color rgb="FFFF0000"/>
      <name val="Arial"/>
      <family val="2"/>
    </font>
    <font>
      <sz val="11"/>
      <color rgb="FF00B050"/>
      <name val="Calibri"/>
      <family val="2"/>
      <scheme val="minor"/>
    </font>
    <font>
      <b/>
      <sz val="10"/>
      <color rgb="FF00B05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8">
    <xf numFmtId="0" fontId="0" fillId="0" borderId="0" xfId="0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17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2" borderId="6" xfId="0" applyFont="1" applyFill="1" applyBorder="1" applyAlignment="1">
      <alignment horizont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justify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29" xfId="0" applyFont="1" applyBorder="1" applyAlignment="1">
      <alignment horizontal="justify" vertical="top" wrapText="1"/>
    </xf>
    <xf numFmtId="2" fontId="8" fillId="0" borderId="16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/>
    </xf>
    <xf numFmtId="164" fontId="0" fillId="0" borderId="0" xfId="0" applyNumberFormat="1"/>
    <xf numFmtId="0" fontId="11" fillId="0" borderId="16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right" vertical="top" wrapText="1"/>
    </xf>
    <xf numFmtId="2" fontId="0" fillId="0" borderId="0" xfId="0" applyNumberFormat="1"/>
    <xf numFmtId="165" fontId="0" fillId="0" borderId="0" xfId="0" applyNumberFormat="1"/>
    <xf numFmtId="0" fontId="2" fillId="0" borderId="7" xfId="0" applyFont="1" applyBorder="1" applyAlignment="1">
      <alignment horizontal="center" vertical="top"/>
    </xf>
    <xf numFmtId="0" fontId="15" fillId="0" borderId="16" xfId="0" applyFont="1" applyBorder="1" applyAlignment="1">
      <alignment horizontal="center" wrapText="1"/>
    </xf>
    <xf numFmtId="0" fontId="14" fillId="0" borderId="18" xfId="0" applyFont="1" applyBorder="1" applyAlignment="1">
      <alignment vertical="top" wrapText="1"/>
    </xf>
    <xf numFmtId="0" fontId="14" fillId="0" borderId="16" xfId="0" applyFont="1" applyBorder="1" applyAlignment="1">
      <alignment horizontal="right" vertical="top" wrapText="1"/>
    </xf>
    <xf numFmtId="0" fontId="14" fillId="0" borderId="22" xfId="0" applyFont="1" applyBorder="1" applyAlignment="1">
      <alignment vertical="top" wrapText="1"/>
    </xf>
    <xf numFmtId="2" fontId="0" fillId="0" borderId="0" xfId="0" applyNumberFormat="1" applyAlignment="1">
      <alignment wrapText="1"/>
    </xf>
    <xf numFmtId="0" fontId="16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16" fillId="0" borderId="18" xfId="0" applyFont="1" applyBorder="1" applyAlignment="1">
      <alignment vertical="top" wrapText="1"/>
    </xf>
    <xf numFmtId="2" fontId="3" fillId="0" borderId="16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center" vertical="top" wrapText="1"/>
    </xf>
    <xf numFmtId="0" fontId="17" fillId="0" borderId="18" xfId="0" applyFont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2" fontId="17" fillId="0" borderId="16" xfId="0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2" fontId="21" fillId="0" borderId="25" xfId="0" applyNumberFormat="1" applyFont="1" applyBorder="1" applyAlignment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0" fontId="19" fillId="0" borderId="18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19" fillId="0" borderId="14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164" fontId="0" fillId="0" borderId="26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0" fontId="4" fillId="0" borderId="16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0" fillId="0" borderId="18" xfId="0" applyBorder="1" applyAlignment="1">
      <alignment vertical="top" wrapText="1"/>
    </xf>
    <xf numFmtId="2" fontId="4" fillId="0" borderId="16" xfId="0" applyNumberFormat="1" applyFont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9" fillId="0" borderId="17" xfId="0" applyFont="1" applyBorder="1" applyAlignment="1">
      <alignment vertical="top" wrapText="1"/>
    </xf>
    <xf numFmtId="0" fontId="14" fillId="0" borderId="13" xfId="0" applyFont="1" applyBorder="1" applyAlignment="1">
      <alignment horizontal="right" vertical="top" wrapText="1"/>
    </xf>
    <xf numFmtId="2" fontId="14" fillId="0" borderId="18" xfId="0" applyNumberFormat="1" applyFont="1" applyBorder="1" applyAlignment="1">
      <alignment vertical="top" wrapText="1"/>
    </xf>
    <xf numFmtId="0" fontId="19" fillId="0" borderId="50" xfId="0" applyFont="1" applyBorder="1" applyAlignment="1">
      <alignment vertical="top" wrapText="1"/>
    </xf>
    <xf numFmtId="0" fontId="14" fillId="0" borderId="51" xfId="0" applyFont="1" applyBorder="1" applyAlignment="1">
      <alignment vertical="top" wrapText="1"/>
    </xf>
    <xf numFmtId="0" fontId="14" fillId="0" borderId="52" xfId="0" applyFont="1" applyBorder="1" applyAlignment="1">
      <alignment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13" xfId="0" applyFont="1" applyBorder="1" applyAlignment="1">
      <alignment vertical="top" wrapText="1"/>
    </xf>
    <xf numFmtId="0" fontId="8" fillId="0" borderId="18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8" fillId="0" borderId="18" xfId="0" applyFont="1" applyBorder="1" applyAlignment="1">
      <alignment horizontal="right" vertical="top" wrapText="1"/>
    </xf>
    <xf numFmtId="0" fontId="8" fillId="0" borderId="51" xfId="0" applyFont="1" applyBorder="1" applyAlignment="1">
      <alignment horizontal="right" vertical="top" wrapText="1"/>
    </xf>
    <xf numFmtId="0" fontId="8" fillId="0" borderId="52" xfId="0" applyFont="1" applyBorder="1" applyAlignment="1">
      <alignment horizontal="right" vertical="top" wrapText="1"/>
    </xf>
    <xf numFmtId="0" fontId="25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2" fontId="12" fillId="0" borderId="16" xfId="0" applyNumberFormat="1" applyFont="1" applyBorder="1" applyAlignment="1">
      <alignment horizontal="right" vertical="top" wrapText="1"/>
    </xf>
    <xf numFmtId="0" fontId="8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2" fontId="8" fillId="0" borderId="51" xfId="0" applyNumberFormat="1" applyFont="1" applyBorder="1" applyAlignment="1">
      <alignment vertical="top" wrapText="1"/>
    </xf>
    <xf numFmtId="2" fontId="8" fillId="0" borderId="51" xfId="0" applyNumberFormat="1" applyFont="1" applyBorder="1" applyAlignment="1">
      <alignment horizontal="right" vertical="top" wrapText="1"/>
    </xf>
    <xf numFmtId="2" fontId="8" fillId="0" borderId="52" xfId="0" applyNumberFormat="1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29" fillId="0" borderId="6" xfId="0" applyFont="1" applyBorder="1"/>
    <xf numFmtId="0" fontId="28" fillId="0" borderId="4" xfId="0" applyFont="1" applyBorder="1" applyAlignment="1">
      <alignment horizontal="justify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32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0" fillId="0" borderId="4" xfId="0" applyFont="1" applyBorder="1" applyAlignment="1">
      <alignment horizontal="justify" vertical="top" wrapText="1"/>
    </xf>
    <xf numFmtId="0" fontId="32" fillId="0" borderId="5" xfId="0" applyFont="1" applyBorder="1" applyAlignment="1">
      <alignment vertical="top" wrapText="1"/>
    </xf>
    <xf numFmtId="0" fontId="32" fillId="0" borderId="32" xfId="0" applyFont="1" applyBorder="1" applyAlignment="1">
      <alignment vertical="top" wrapText="1"/>
    </xf>
    <xf numFmtId="0" fontId="31" fillId="0" borderId="4" xfId="0" applyFont="1" applyBorder="1"/>
    <xf numFmtId="0" fontId="31" fillId="0" borderId="5" xfId="0" applyFont="1" applyBorder="1"/>
    <xf numFmtId="0" fontId="30" fillId="0" borderId="46" xfId="0" applyFont="1" applyBorder="1" applyAlignment="1">
      <alignment horizontal="justify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26" xfId="0" applyFont="1" applyBorder="1" applyAlignment="1">
      <alignment horizontal="justify" vertical="top" wrapText="1"/>
    </xf>
    <xf numFmtId="0" fontId="30" fillId="0" borderId="8" xfId="0" applyFont="1" applyBorder="1" applyAlignment="1">
      <alignment horizontal="center" vertical="top" wrapText="1"/>
    </xf>
    <xf numFmtId="0" fontId="28" fillId="0" borderId="4" xfId="0" applyFont="1" applyBorder="1" applyAlignment="1">
      <alignment vertical="top" wrapText="1"/>
    </xf>
    <xf numFmtId="0" fontId="31" fillId="0" borderId="5" xfId="0" applyFont="1" applyBorder="1" applyAlignment="1">
      <alignment horizontal="right" vertical="top"/>
    </xf>
    <xf numFmtId="0" fontId="31" fillId="0" borderId="6" xfId="0" applyFont="1" applyBorder="1" applyAlignment="1">
      <alignment horizontal="right"/>
    </xf>
    <xf numFmtId="0" fontId="31" fillId="0" borderId="6" xfId="0" applyFont="1" applyBorder="1"/>
    <xf numFmtId="0" fontId="30" fillId="0" borderId="4" xfId="0" applyFont="1" applyBorder="1" applyAlignment="1">
      <alignment horizontal="left" vertical="top" wrapText="1"/>
    </xf>
    <xf numFmtId="0" fontId="30" fillId="0" borderId="26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32" fillId="0" borderId="4" xfId="0" applyFont="1" applyBorder="1" applyAlignment="1">
      <alignment vertical="top" wrapText="1"/>
    </xf>
    <xf numFmtId="0" fontId="28" fillId="0" borderId="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15" xfId="0" applyFont="1" applyBorder="1" applyAlignment="1">
      <alignment horizontal="right" vertical="top" wrapText="1"/>
    </xf>
    <xf numFmtId="0" fontId="14" fillId="0" borderId="9" xfId="0" applyFont="1" applyBorder="1" applyAlignment="1">
      <alignment vertical="top" wrapText="1"/>
    </xf>
    <xf numFmtId="0" fontId="12" fillId="0" borderId="0" xfId="0" applyFont="1" applyAlignment="1">
      <alignment horizontal="right" vertical="top" wrapText="1"/>
    </xf>
    <xf numFmtId="2" fontId="12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28" fillId="0" borderId="23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2" fontId="0" fillId="0" borderId="0" xfId="0" applyNumberFormat="1" applyAlignment="1">
      <alignment vertical="top" wrapText="1"/>
    </xf>
    <xf numFmtId="0" fontId="1" fillId="0" borderId="2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65" fontId="2" fillId="0" borderId="16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wrapText="1"/>
    </xf>
    <xf numFmtId="0" fontId="14" fillId="0" borderId="59" xfId="0" applyFont="1" applyBorder="1" applyAlignment="1">
      <alignment horizontal="right" vertical="top" wrapText="1"/>
    </xf>
    <xf numFmtId="0" fontId="14" fillId="0" borderId="33" xfId="0" applyFont="1" applyBorder="1" applyAlignment="1">
      <alignment horizontal="right" vertical="top" wrapText="1"/>
    </xf>
    <xf numFmtId="0" fontId="14" fillId="0" borderId="35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2" fontId="33" fillId="0" borderId="16" xfId="0" applyNumberFormat="1" applyFont="1" applyBorder="1" applyAlignment="1">
      <alignment horizontal="right" vertical="top" wrapText="1"/>
    </xf>
    <xf numFmtId="2" fontId="33" fillId="0" borderId="28" xfId="0" applyNumberFormat="1" applyFont="1" applyBorder="1" applyAlignment="1">
      <alignment horizontal="right" vertical="top" wrapText="1"/>
    </xf>
    <xf numFmtId="2" fontId="33" fillId="0" borderId="5" xfId="0" applyNumberFormat="1" applyFont="1" applyBorder="1" applyAlignment="1">
      <alignment horizontal="right" vertical="top" wrapText="1"/>
    </xf>
    <xf numFmtId="2" fontId="2" fillId="0" borderId="13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25" xfId="0" applyNumberFormat="1" applyFont="1" applyBorder="1" applyAlignment="1">
      <alignment horizontal="center" vertical="top"/>
    </xf>
    <xf numFmtId="0" fontId="33" fillId="0" borderId="15" xfId="0" applyFont="1" applyBorder="1" applyAlignment="1">
      <alignment horizontal="right" vertical="top" wrapText="1"/>
    </xf>
    <xf numFmtId="0" fontId="33" fillId="0" borderId="59" xfId="0" applyFont="1" applyBorder="1" applyAlignment="1">
      <alignment horizontal="right" vertical="top" wrapText="1"/>
    </xf>
    <xf numFmtId="0" fontId="33" fillId="0" borderId="33" xfId="0" applyFont="1" applyBorder="1" applyAlignment="1">
      <alignment horizontal="right" vertical="top" wrapText="1"/>
    </xf>
    <xf numFmtId="0" fontId="33" fillId="0" borderId="0" xfId="0" applyFont="1" applyAlignment="1">
      <alignment horizontal="right" vertical="top" wrapText="1"/>
    </xf>
    <xf numFmtId="0" fontId="33" fillId="0" borderId="35" xfId="0" applyFont="1" applyBorder="1" applyAlignment="1">
      <alignment vertical="top" wrapText="1"/>
    </xf>
    <xf numFmtId="2" fontId="16" fillId="0" borderId="16" xfId="0" applyNumberFormat="1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center" vertical="top" wrapText="1"/>
    </xf>
    <xf numFmtId="0" fontId="39" fillId="0" borderId="16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/>
    </xf>
    <xf numFmtId="0" fontId="40" fillId="0" borderId="4" xfId="0" applyFont="1" applyBorder="1"/>
    <xf numFmtId="2" fontId="40" fillId="0" borderId="5" xfId="0" applyNumberFormat="1" applyFont="1" applyBorder="1"/>
    <xf numFmtId="0" fontId="20" fillId="0" borderId="15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2" fontId="41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33" fillId="0" borderId="7" xfId="0" applyFont="1" applyBorder="1" applyAlignment="1">
      <alignment vertical="top" wrapText="1"/>
    </xf>
    <xf numFmtId="0" fontId="15" fillId="0" borderId="50" xfId="0" applyFont="1" applyBorder="1" applyAlignment="1">
      <alignment vertical="top" wrapText="1"/>
    </xf>
    <xf numFmtId="0" fontId="15" fillId="0" borderId="57" xfId="0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35" fillId="0" borderId="57" xfId="0" applyFont="1" applyBorder="1" applyAlignment="1">
      <alignment vertical="top" wrapText="1"/>
    </xf>
    <xf numFmtId="0" fontId="35" fillId="0" borderId="26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70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8" fillId="0" borderId="71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2" fontId="20" fillId="0" borderId="6" xfId="0" applyNumberFormat="1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5" fillId="0" borderId="27" xfId="0" applyFont="1" applyBorder="1" applyAlignment="1">
      <alignment vertical="top" wrapText="1"/>
    </xf>
    <xf numFmtId="0" fontId="25" fillId="0" borderId="28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horizontal="right" vertical="top" wrapText="1"/>
    </xf>
    <xf numFmtId="0" fontId="8" fillId="0" borderId="29" xfId="0" applyFont="1" applyBorder="1" applyAlignment="1">
      <alignment vertical="top" wrapText="1"/>
    </xf>
    <xf numFmtId="0" fontId="8" fillId="0" borderId="30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26" xfId="0" applyFont="1" applyBorder="1" applyAlignment="1">
      <alignment vertical="top" wrapText="1"/>
    </xf>
    <xf numFmtId="2" fontId="8" fillId="0" borderId="3" xfId="0" applyNumberFormat="1" applyFont="1" applyBorder="1" applyAlignment="1">
      <alignment horizontal="right" vertical="top" wrapText="1"/>
    </xf>
    <xf numFmtId="2" fontId="8" fillId="0" borderId="8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right" wrapText="1"/>
    </xf>
    <xf numFmtId="0" fontId="6" fillId="0" borderId="28" xfId="0" applyFont="1" applyBorder="1" applyAlignment="1">
      <alignment horizontal="right" wrapText="1"/>
    </xf>
    <xf numFmtId="2" fontId="6" fillId="0" borderId="28" xfId="0" applyNumberFormat="1" applyFont="1" applyBorder="1" applyAlignment="1">
      <alignment horizontal="right" wrapText="1"/>
    </xf>
    <xf numFmtId="2" fontId="6" fillId="0" borderId="29" xfId="0" applyNumberFormat="1" applyFont="1" applyBorder="1" applyAlignment="1">
      <alignment horizontal="right" wrapText="1"/>
    </xf>
    <xf numFmtId="2" fontId="6" fillId="0" borderId="30" xfId="0" applyNumberFormat="1" applyFont="1" applyBorder="1" applyAlignment="1">
      <alignment horizontal="right" wrapText="1"/>
    </xf>
    <xf numFmtId="2" fontId="6" fillId="0" borderId="5" xfId="0" applyNumberFormat="1" applyFont="1" applyBorder="1" applyAlignment="1">
      <alignment horizontal="right" wrapText="1"/>
    </xf>
    <xf numFmtId="0" fontId="27" fillId="0" borderId="0" xfId="0" applyFont="1" applyAlignment="1">
      <alignment vertical="top" wrapText="1"/>
    </xf>
    <xf numFmtId="0" fontId="27" fillId="0" borderId="70" xfId="0" applyFont="1" applyBorder="1" applyAlignment="1">
      <alignment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right" vertical="top" wrapText="1"/>
    </xf>
    <xf numFmtId="2" fontId="12" fillId="0" borderId="28" xfId="0" applyNumberFormat="1" applyFont="1" applyBorder="1" applyAlignment="1">
      <alignment horizontal="right" vertical="top" wrapText="1"/>
    </xf>
    <xf numFmtId="0" fontId="12" fillId="0" borderId="29" xfId="0" applyFont="1" applyBorder="1" applyAlignment="1">
      <alignment horizontal="center" vertical="top" wrapText="1"/>
    </xf>
    <xf numFmtId="2" fontId="12" fillId="0" borderId="30" xfId="0" applyNumberFormat="1" applyFont="1" applyBorder="1" applyAlignment="1">
      <alignment horizontal="right" vertical="top" wrapText="1"/>
    </xf>
    <xf numFmtId="2" fontId="12" fillId="0" borderId="5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horizontal="right" vertical="top" wrapText="1"/>
    </xf>
    <xf numFmtId="0" fontId="25" fillId="0" borderId="58" xfId="0" applyFont="1" applyBorder="1" applyAlignment="1">
      <alignment vertical="top" wrapText="1"/>
    </xf>
    <xf numFmtId="0" fontId="25" fillId="0" borderId="27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2" fontId="8" fillId="0" borderId="28" xfId="0" applyNumberFormat="1" applyFont="1" applyBorder="1" applyAlignment="1">
      <alignment horizontal="right" vertical="top" wrapText="1"/>
    </xf>
    <xf numFmtId="0" fontId="8" fillId="0" borderId="29" xfId="0" applyFont="1" applyBorder="1" applyAlignment="1">
      <alignment horizontal="center" vertical="top" wrapText="1"/>
    </xf>
    <xf numFmtId="2" fontId="8" fillId="0" borderId="30" xfId="0" applyNumberFormat="1" applyFont="1" applyBorder="1" applyAlignment="1">
      <alignment horizontal="right" vertical="top" wrapText="1"/>
    </xf>
    <xf numFmtId="2" fontId="8" fillId="0" borderId="5" xfId="0" applyNumberFormat="1" applyFont="1" applyBorder="1" applyAlignment="1">
      <alignment horizontal="right" vertical="top" wrapText="1"/>
    </xf>
    <xf numFmtId="0" fontId="25" fillId="0" borderId="29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58" xfId="0" applyFont="1" applyBorder="1" applyAlignment="1">
      <alignment vertical="top" wrapText="1"/>
    </xf>
    <xf numFmtId="0" fontId="5" fillId="0" borderId="58" xfId="0" applyFont="1" applyBorder="1" applyAlignment="1">
      <alignment horizontal="center" vertical="top" wrapText="1"/>
    </xf>
    <xf numFmtId="0" fontId="0" fillId="0" borderId="29" xfId="0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8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7" fillId="0" borderId="0" xfId="0" applyFont="1"/>
    <xf numFmtId="0" fontId="5" fillId="0" borderId="24" xfId="0" applyFont="1" applyBorder="1"/>
    <xf numFmtId="164" fontId="0" fillId="0" borderId="46" xfId="0" applyNumberFormat="1" applyBorder="1" applyAlignment="1">
      <alignment horizontal="center" vertical="top"/>
    </xf>
    <xf numFmtId="0" fontId="41" fillId="0" borderId="0" xfId="0" applyFont="1"/>
    <xf numFmtId="0" fontId="45" fillId="0" borderId="3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top"/>
    </xf>
    <xf numFmtId="0" fontId="37" fillId="0" borderId="12" xfId="0" applyFont="1" applyBorder="1" applyAlignment="1">
      <alignment vertical="top" wrapText="1"/>
    </xf>
    <xf numFmtId="164" fontId="0" fillId="0" borderId="7" xfId="0" applyNumberFormat="1" applyBorder="1" applyAlignment="1">
      <alignment horizontal="center" vertical="top"/>
    </xf>
    <xf numFmtId="164" fontId="41" fillId="0" borderId="7" xfId="0" applyNumberFormat="1" applyFont="1" applyBorder="1" applyAlignment="1">
      <alignment horizontal="center" vertical="top"/>
    </xf>
    <xf numFmtId="1" fontId="0" fillId="0" borderId="25" xfId="0" applyNumberFormat="1" applyBorder="1" applyAlignment="1">
      <alignment horizontal="center" vertical="top"/>
    </xf>
    <xf numFmtId="0" fontId="2" fillId="0" borderId="78" xfId="0" applyFont="1" applyBorder="1" applyAlignment="1">
      <alignment horizontal="right" vertical="top"/>
    </xf>
    <xf numFmtId="2" fontId="2" fillId="0" borderId="78" xfId="0" applyNumberFormat="1" applyFont="1" applyBorder="1" applyAlignment="1">
      <alignment horizontal="right" vertical="top"/>
    </xf>
    <xf numFmtId="0" fontId="12" fillId="0" borderId="0" xfId="0" applyFont="1"/>
    <xf numFmtId="2" fontId="12" fillId="0" borderId="0" xfId="0" applyNumberFormat="1" applyFont="1"/>
    <xf numFmtId="0" fontId="1" fillId="0" borderId="46" xfId="0" applyFont="1" applyBorder="1" applyAlignment="1">
      <alignment horizontal="center" vertical="top"/>
    </xf>
    <xf numFmtId="0" fontId="17" fillId="0" borderId="66" xfId="0" applyFont="1" applyBorder="1" applyAlignment="1">
      <alignment horizontal="center" wrapText="1"/>
    </xf>
    <xf numFmtId="0" fontId="17" fillId="0" borderId="6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2" fontId="2" fillId="0" borderId="80" xfId="0" applyNumberFormat="1" applyFont="1" applyBorder="1" applyAlignment="1">
      <alignment horizontal="right" vertical="top"/>
    </xf>
    <xf numFmtId="2" fontId="2" fillId="0" borderId="79" xfId="0" applyNumberFormat="1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right" vertical="top"/>
    </xf>
    <xf numFmtId="2" fontId="2" fillId="0" borderId="5" xfId="0" applyNumberFormat="1" applyFont="1" applyBorder="1" applyAlignment="1">
      <alignment horizontal="right" vertical="top"/>
    </xf>
    <xf numFmtId="2" fontId="2" fillId="0" borderId="25" xfId="0" applyNumberFormat="1" applyFont="1" applyBorder="1" applyAlignment="1">
      <alignment horizontal="right" vertical="top"/>
    </xf>
    <xf numFmtId="2" fontId="4" fillId="0" borderId="31" xfId="0" applyNumberFormat="1" applyFont="1" applyBorder="1"/>
    <xf numFmtId="2" fontId="4" fillId="0" borderId="32" xfId="0" applyNumberFormat="1" applyFont="1" applyBorder="1"/>
    <xf numFmtId="2" fontId="4" fillId="0" borderId="30" xfId="0" applyNumberFormat="1" applyFont="1" applyBorder="1"/>
    <xf numFmtId="0" fontId="0" fillId="0" borderId="8" xfId="0" applyBorder="1"/>
    <xf numFmtId="2" fontId="0" fillId="0" borderId="5" xfId="0" applyNumberFormat="1" applyBorder="1" applyAlignment="1">
      <alignment horizontal="right" vertical="top"/>
    </xf>
    <xf numFmtId="2" fontId="2" fillId="0" borderId="4" xfId="0" applyNumberFormat="1" applyFont="1" applyBorder="1" applyAlignment="1">
      <alignment horizontal="right" vertical="top"/>
    </xf>
    <xf numFmtId="2" fontId="36" fillId="0" borderId="25" xfId="0" applyNumberFormat="1" applyFont="1" applyBorder="1" applyAlignment="1">
      <alignment horizontal="right" vertical="top"/>
    </xf>
    <xf numFmtId="166" fontId="33" fillId="0" borderId="16" xfId="0" applyNumberFormat="1" applyFont="1" applyBorder="1" applyAlignment="1">
      <alignment horizontal="right" vertical="top" wrapText="1"/>
    </xf>
    <xf numFmtId="166" fontId="33" fillId="0" borderId="30" xfId="0" applyNumberFormat="1" applyFont="1" applyBorder="1" applyAlignment="1">
      <alignment horizontal="right" vertical="top" wrapText="1"/>
    </xf>
    <xf numFmtId="0" fontId="42" fillId="2" borderId="66" xfId="0" applyFont="1" applyFill="1" applyBorder="1" applyAlignment="1">
      <alignment horizontal="center" wrapText="1"/>
    </xf>
    <xf numFmtId="0" fontId="42" fillId="2" borderId="67" xfId="0" applyFont="1" applyFill="1" applyBorder="1" applyAlignment="1">
      <alignment horizontal="center" wrapText="1"/>
    </xf>
    <xf numFmtId="0" fontId="42" fillId="2" borderId="68" xfId="0" applyFont="1" applyFill="1" applyBorder="1" applyAlignment="1">
      <alignment wrapText="1"/>
    </xf>
    <xf numFmtId="0" fontId="42" fillId="2" borderId="69" xfId="0" applyFont="1" applyFill="1" applyBorder="1" applyAlignment="1">
      <alignment horizontal="center" wrapText="1"/>
    </xf>
    <xf numFmtId="0" fontId="43" fillId="2" borderId="6" xfId="0" applyFont="1" applyFill="1" applyBorder="1" applyAlignment="1">
      <alignment horizontal="center"/>
    </xf>
    <xf numFmtId="165" fontId="43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164" fontId="41" fillId="0" borderId="6" xfId="0" applyNumberFormat="1" applyFont="1" applyBorder="1" applyAlignment="1">
      <alignment horizontal="center"/>
    </xf>
    <xf numFmtId="164" fontId="41" fillId="0" borderId="7" xfId="0" applyNumberFormat="1" applyFont="1" applyBorder="1" applyAlignment="1">
      <alignment horizontal="center"/>
    </xf>
    <xf numFmtId="164" fontId="41" fillId="0" borderId="4" xfId="0" applyNumberFormat="1" applyFont="1" applyBorder="1" applyAlignment="1">
      <alignment horizontal="center"/>
    </xf>
    <xf numFmtId="0" fontId="47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2" fillId="0" borderId="16" xfId="0" applyFont="1" applyBorder="1" applyAlignment="1">
      <alignment horizontal="center" vertical="top" wrapText="1"/>
    </xf>
    <xf numFmtId="0" fontId="42" fillId="0" borderId="28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right" vertical="top" wrapText="1"/>
    </xf>
    <xf numFmtId="164" fontId="43" fillId="0" borderId="6" xfId="0" applyNumberFormat="1" applyFont="1" applyBorder="1" applyAlignment="1">
      <alignment horizontal="right" vertical="top" wrapText="1"/>
    </xf>
    <xf numFmtId="165" fontId="43" fillId="0" borderId="16" xfId="0" applyNumberFormat="1" applyFont="1" applyBorder="1" applyAlignment="1">
      <alignment horizontal="right" vertical="top" wrapText="1"/>
    </xf>
    <xf numFmtId="2" fontId="43" fillId="0" borderId="13" xfId="0" applyNumberFormat="1" applyFont="1" applyBorder="1" applyAlignment="1">
      <alignment horizontal="right" vertical="top" wrapText="1"/>
    </xf>
    <xf numFmtId="0" fontId="43" fillId="0" borderId="4" xfId="0" applyFont="1" applyBorder="1" applyAlignment="1">
      <alignment horizontal="center" vertical="top"/>
    </xf>
    <xf numFmtId="0" fontId="43" fillId="0" borderId="5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/>
    </xf>
    <xf numFmtId="0" fontId="43" fillId="0" borderId="5" xfId="0" applyFont="1" applyBorder="1" applyAlignment="1">
      <alignment horizontal="center" vertical="top"/>
    </xf>
    <xf numFmtId="2" fontId="43" fillId="0" borderId="6" xfId="0" applyNumberFormat="1" applyFont="1" applyBorder="1" applyAlignment="1">
      <alignment horizontal="center" vertical="top"/>
    </xf>
    <xf numFmtId="0" fontId="43" fillId="0" borderId="7" xfId="0" applyFont="1" applyBorder="1" applyAlignment="1">
      <alignment horizontal="center" vertical="top"/>
    </xf>
    <xf numFmtId="2" fontId="43" fillId="0" borderId="7" xfId="0" applyNumberFormat="1" applyFont="1" applyBorder="1" applyAlignment="1">
      <alignment horizontal="center" vertical="top"/>
    </xf>
    <xf numFmtId="2" fontId="48" fillId="0" borderId="4" xfId="0" applyNumberFormat="1" applyFont="1" applyBorder="1" applyAlignment="1">
      <alignment horizontal="center"/>
    </xf>
    <xf numFmtId="0" fontId="0" fillId="0" borderId="34" xfId="0" applyBorder="1"/>
    <xf numFmtId="2" fontId="2" fillId="0" borderId="0" xfId="0" applyNumberFormat="1" applyFont="1" applyAlignment="1">
      <alignment horizontal="right" vertical="top"/>
    </xf>
    <xf numFmtId="0" fontId="42" fillId="2" borderId="32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wrapText="1"/>
    </xf>
    <xf numFmtId="0" fontId="42" fillId="2" borderId="5" xfId="0" applyFont="1" applyFill="1" applyBorder="1" applyAlignment="1">
      <alignment horizontal="center" wrapText="1"/>
    </xf>
    <xf numFmtId="0" fontId="43" fillId="2" borderId="6" xfId="0" applyFont="1" applyFill="1" applyBorder="1" applyAlignment="1">
      <alignment horizontal="right"/>
    </xf>
    <xf numFmtId="165" fontId="43" fillId="0" borderId="5" xfId="0" applyNumberFormat="1" applyFont="1" applyBorder="1" applyAlignment="1">
      <alignment horizontal="right"/>
    </xf>
    <xf numFmtId="0" fontId="43" fillId="0" borderId="6" xfId="0" applyFont="1" applyBorder="1" applyAlignment="1">
      <alignment horizontal="right"/>
    </xf>
    <xf numFmtId="0" fontId="46" fillId="0" borderId="6" xfId="0" applyFont="1" applyBorder="1" applyAlignment="1">
      <alignment horizontal="right"/>
    </xf>
    <xf numFmtId="2" fontId="41" fillId="0" borderId="7" xfId="0" applyNumberFormat="1" applyFont="1" applyBorder="1"/>
    <xf numFmtId="165" fontId="43" fillId="0" borderId="0" xfId="0" applyNumberFormat="1" applyFont="1" applyAlignment="1">
      <alignment horizontal="center" vertical="top"/>
    </xf>
    <xf numFmtId="165" fontId="43" fillId="0" borderId="4" xfId="0" applyNumberFormat="1" applyFont="1" applyBorder="1" applyAlignment="1">
      <alignment horizontal="right" vertical="top"/>
    </xf>
    <xf numFmtId="2" fontId="41" fillId="0" borderId="26" xfId="0" applyNumberFormat="1" applyFont="1" applyBorder="1"/>
    <xf numFmtId="2" fontId="41" fillId="0" borderId="0" xfId="0" applyNumberFormat="1" applyFont="1"/>
    <xf numFmtId="0" fontId="42" fillId="0" borderId="4" xfId="0" applyFont="1" applyBorder="1" applyAlignment="1">
      <alignment horizontal="center" vertical="top"/>
    </xf>
    <xf numFmtId="0" fontId="42" fillId="0" borderId="5" xfId="0" applyFont="1" applyBorder="1" applyAlignment="1">
      <alignment horizontal="center" vertical="top" wrapText="1"/>
    </xf>
    <xf numFmtId="0" fontId="41" fillId="0" borderId="5" xfId="0" applyFont="1" applyBorder="1" applyAlignment="1">
      <alignment vertical="top"/>
    </xf>
    <xf numFmtId="165" fontId="43" fillId="0" borderId="5" xfId="0" applyNumberFormat="1" applyFont="1" applyBorder="1" applyAlignment="1">
      <alignment horizontal="center" vertical="top"/>
    </xf>
    <xf numFmtId="2" fontId="43" fillId="0" borderId="25" xfId="0" applyNumberFormat="1" applyFont="1" applyBorder="1" applyAlignment="1">
      <alignment horizontal="center" vertical="top"/>
    </xf>
    <xf numFmtId="165" fontId="43" fillId="0" borderId="4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23" xfId="0" applyFont="1" applyBorder="1"/>
    <xf numFmtId="0" fontId="0" fillId="0" borderId="6" xfId="0" applyBorder="1"/>
    <xf numFmtId="0" fontId="12" fillId="0" borderId="31" xfId="0" applyFont="1" applyBorder="1"/>
    <xf numFmtId="0" fontId="5" fillId="0" borderId="7" xfId="0" applyFont="1" applyBorder="1"/>
    <xf numFmtId="0" fontId="5" fillId="0" borderId="31" xfId="0" applyFont="1" applyBorder="1"/>
    <xf numFmtId="165" fontId="12" fillId="0" borderId="4" xfId="0" applyNumberFormat="1" applyFont="1" applyBorder="1"/>
    <xf numFmtId="165" fontId="12" fillId="0" borderId="31" xfId="0" applyNumberFormat="1" applyFont="1" applyBorder="1"/>
    <xf numFmtId="2" fontId="12" fillId="0" borderId="7" xfId="0" applyNumberFormat="1" applyFont="1" applyBorder="1"/>
    <xf numFmtId="0" fontId="12" fillId="0" borderId="23" xfId="0" applyFont="1" applyBorder="1"/>
    <xf numFmtId="0" fontId="12" fillId="0" borderId="7" xfId="0" applyFont="1" applyBorder="1"/>
    <xf numFmtId="2" fontId="12" fillId="0" borderId="4" xfId="0" applyNumberFormat="1" applyFont="1" applyBorder="1"/>
    <xf numFmtId="2" fontId="12" fillId="0" borderId="31" xfId="0" applyNumberFormat="1" applyFont="1" applyBorder="1"/>
    <xf numFmtId="2" fontId="12" fillId="0" borderId="23" xfId="0" applyNumberFormat="1" applyFont="1" applyBorder="1"/>
    <xf numFmtId="165" fontId="2" fillId="0" borderId="77" xfId="0" applyNumberFormat="1" applyFont="1" applyBorder="1" applyAlignment="1">
      <alignment horizontal="right" vertical="top"/>
    </xf>
    <xf numFmtId="0" fontId="17" fillId="0" borderId="81" xfId="0" applyFont="1" applyBorder="1"/>
    <xf numFmtId="0" fontId="17" fillId="0" borderId="82" xfId="0" applyFont="1" applyBorder="1"/>
    <xf numFmtId="0" fontId="17" fillId="0" borderId="84" xfId="0" applyFont="1" applyBorder="1"/>
    <xf numFmtId="0" fontId="17" fillId="0" borderId="66" xfId="0" applyFont="1" applyBorder="1"/>
    <xf numFmtId="0" fontId="2" fillId="0" borderId="87" xfId="0" applyFont="1" applyBorder="1" applyAlignment="1">
      <alignment horizontal="right" vertical="top"/>
    </xf>
    <xf numFmtId="165" fontId="2" fillId="0" borderId="6" xfId="0" applyNumberFormat="1" applyFont="1" applyBorder="1" applyAlignment="1">
      <alignment horizontal="right" vertical="top"/>
    </xf>
    <xf numFmtId="165" fontId="2" fillId="0" borderId="86" xfId="0" applyNumberFormat="1" applyFont="1" applyBorder="1" applyAlignment="1">
      <alignment horizontal="right" vertical="top"/>
    </xf>
    <xf numFmtId="0" fontId="42" fillId="0" borderId="17" xfId="0" applyFont="1" applyBorder="1" applyAlignment="1">
      <alignment horizontal="justify" vertical="top" wrapText="1"/>
    </xf>
    <xf numFmtId="0" fontId="42" fillId="0" borderId="13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2" fillId="0" borderId="16" xfId="0" applyFont="1" applyBorder="1" applyAlignment="1">
      <alignment vertical="top" wrapText="1"/>
    </xf>
    <xf numFmtId="0" fontId="43" fillId="0" borderId="13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2" fontId="41" fillId="0" borderId="16" xfId="0" applyNumberFormat="1" applyFont="1" applyBorder="1" applyAlignment="1">
      <alignment horizontal="center" vertical="center" wrapText="1"/>
    </xf>
    <xf numFmtId="2" fontId="41" fillId="0" borderId="13" xfId="0" applyNumberFormat="1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5" xfId="0" applyBorder="1"/>
    <xf numFmtId="0" fontId="0" fillId="0" borderId="25" xfId="0" applyBorder="1"/>
    <xf numFmtId="0" fontId="5" fillId="0" borderId="34" xfId="0" applyFont="1" applyBorder="1"/>
    <xf numFmtId="2" fontId="0" fillId="0" borderId="78" xfId="0" applyNumberFormat="1" applyBorder="1"/>
    <xf numFmtId="0" fontId="0" fillId="0" borderId="78" xfId="0" applyBorder="1"/>
    <xf numFmtId="164" fontId="0" fillId="0" borderId="0" xfId="0" applyNumberFormat="1" applyAlignment="1">
      <alignment vertical="top" wrapText="1"/>
    </xf>
    <xf numFmtId="0" fontId="17" fillId="0" borderId="87" xfId="0" applyFont="1" applyBorder="1"/>
    <xf numFmtId="0" fontId="17" fillId="0" borderId="91" xfId="0" applyFont="1" applyBorder="1"/>
    <xf numFmtId="0" fontId="42" fillId="0" borderId="35" xfId="0" applyFont="1" applyBorder="1" applyAlignment="1">
      <alignment horizontal="right" wrapText="1"/>
    </xf>
    <xf numFmtId="0" fontId="42" fillId="0" borderId="33" xfId="0" applyFont="1" applyBorder="1" applyAlignment="1">
      <alignment horizontal="right" wrapText="1"/>
    </xf>
    <xf numFmtId="0" fontId="8" fillId="0" borderId="1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4" xfId="0" applyFont="1" applyBorder="1"/>
    <xf numFmtId="0" fontId="19" fillId="0" borderId="22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2" fillId="0" borderId="35" xfId="0" applyFont="1" applyBorder="1"/>
    <xf numFmtId="0" fontId="2" fillId="0" borderId="33" xfId="0" applyFont="1" applyBorder="1"/>
    <xf numFmtId="0" fontId="0" fillId="0" borderId="66" xfId="0" applyBorder="1"/>
    <xf numFmtId="2" fontId="0" fillId="0" borderId="66" xfId="0" applyNumberFormat="1" applyBorder="1"/>
    <xf numFmtId="0" fontId="0" fillId="0" borderId="82" xfId="0" applyBorder="1"/>
    <xf numFmtId="2" fontId="0" fillId="0" borderId="82" xfId="0" applyNumberFormat="1" applyBorder="1"/>
    <xf numFmtId="2" fontId="53" fillId="0" borderId="7" xfId="0" applyNumberFormat="1" applyFont="1" applyBorder="1"/>
    <xf numFmtId="165" fontId="2" fillId="0" borderId="0" xfId="0" applyNumberFormat="1" applyFont="1" applyAlignment="1">
      <alignment horizontal="center" vertical="top"/>
    </xf>
    <xf numFmtId="0" fontId="0" fillId="0" borderId="0" xfId="0" applyBorder="1"/>
    <xf numFmtId="0" fontId="0" fillId="0" borderId="0" xfId="0" applyBorder="1" applyAlignment="1"/>
    <xf numFmtId="2" fontId="0" fillId="0" borderId="78" xfId="0" applyNumberFormat="1" applyBorder="1" applyAlignment="1">
      <alignment horizontal="center"/>
    </xf>
    <xf numFmtId="0" fontId="11" fillId="0" borderId="91" xfId="0" applyFont="1" applyBorder="1" applyAlignment="1">
      <alignment vertical="center" wrapText="1"/>
    </xf>
    <xf numFmtId="0" fontId="34" fillId="0" borderId="91" xfId="0" applyFont="1" applyBorder="1" applyAlignment="1">
      <alignment vertical="center" wrapText="1"/>
    </xf>
    <xf numFmtId="0" fontId="0" fillId="0" borderId="91" xfId="0" applyBorder="1"/>
    <xf numFmtId="0" fontId="0" fillId="0" borderId="78" xfId="0" applyBorder="1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49" fillId="0" borderId="78" xfId="0" applyFont="1" applyBorder="1" applyAlignment="1">
      <alignment horizontal="center"/>
    </xf>
    <xf numFmtId="0" fontId="49" fillId="0" borderId="78" xfId="0" applyFont="1" applyBorder="1" applyAlignment="1">
      <alignment horizontal="right"/>
    </xf>
    <xf numFmtId="2" fontId="49" fillId="0" borderId="78" xfId="0" applyNumberFormat="1" applyFont="1" applyBorder="1"/>
    <xf numFmtId="2" fontId="49" fillId="0" borderId="78" xfId="0" applyNumberFormat="1" applyFont="1" applyBorder="1" applyAlignment="1">
      <alignment horizontal="center"/>
    </xf>
    <xf numFmtId="0" fontId="49" fillId="0" borderId="78" xfId="0" applyFont="1" applyBorder="1"/>
    <xf numFmtId="0" fontId="49" fillId="0" borderId="78" xfId="0" applyFont="1" applyFill="1" applyBorder="1" applyAlignment="1">
      <alignment wrapText="1"/>
    </xf>
    <xf numFmtId="0" fontId="49" fillId="0" borderId="66" xfId="0" applyFont="1" applyBorder="1" applyAlignment="1"/>
    <xf numFmtId="2" fontId="36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0" fontId="15" fillId="0" borderId="42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37" fillId="0" borderId="35" xfId="0" applyFont="1" applyBorder="1" applyAlignment="1">
      <alignment horizontal="center" vertical="top" wrapText="1"/>
    </xf>
    <xf numFmtId="0" fontId="37" fillId="0" borderId="4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top" wrapText="1"/>
    </xf>
    <xf numFmtId="0" fontId="15" fillId="0" borderId="72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7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34" fillId="0" borderId="22" xfId="0" applyFont="1" applyBorder="1" applyAlignment="1">
      <alignment horizontal="center" vertical="top" wrapText="1"/>
    </xf>
    <xf numFmtId="0" fontId="3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center" vertical="top" wrapText="1"/>
    </xf>
    <xf numFmtId="0" fontId="42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43" fillId="0" borderId="7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2" fillId="2" borderId="64" xfId="0" applyFont="1" applyFill="1" applyBorder="1" applyAlignment="1">
      <alignment wrapText="1"/>
    </xf>
    <xf numFmtId="0" fontId="42" fillId="2" borderId="65" xfId="0" applyFont="1" applyFill="1" applyBorder="1" applyAlignment="1">
      <alignment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right" vertical="top" wrapText="1"/>
    </xf>
    <xf numFmtId="0" fontId="6" fillId="0" borderId="32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2" fillId="0" borderId="46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0" fontId="42" fillId="0" borderId="7" xfId="0" applyFont="1" applyBorder="1" applyAlignment="1">
      <alignment horizontal="center" wrapText="1"/>
    </xf>
    <xf numFmtId="0" fontId="42" fillId="0" borderId="42" xfId="0" applyFont="1" applyBorder="1" applyAlignment="1">
      <alignment vertical="top" wrapText="1"/>
    </xf>
    <xf numFmtId="0" fontId="42" fillId="0" borderId="27" xfId="0" applyFont="1" applyBorder="1" applyAlignment="1">
      <alignment vertical="top" wrapText="1"/>
    </xf>
    <xf numFmtId="0" fontId="42" fillId="0" borderId="33" xfId="0" applyFont="1" applyBorder="1" applyAlignment="1">
      <alignment horizontal="center" wrapText="1"/>
    </xf>
    <xf numFmtId="0" fontId="42" fillId="0" borderId="35" xfId="0" applyFont="1" applyBorder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0" fillId="0" borderId="5" xfId="0" applyBorder="1"/>
    <xf numFmtId="0" fontId="10" fillId="0" borderId="34" xfId="0" applyFont="1" applyBorder="1"/>
    <xf numFmtId="0" fontId="10" fillId="0" borderId="0" xfId="0" applyFont="1"/>
    <xf numFmtId="0" fontId="10" fillId="0" borderId="6" xfId="0" applyFont="1" applyBorder="1"/>
    <xf numFmtId="0" fontId="42" fillId="0" borderId="61" xfId="0" applyFont="1" applyBorder="1" applyAlignment="1">
      <alignment horizontal="center" vertical="top"/>
    </xf>
    <xf numFmtId="0" fontId="42" fillId="0" borderId="62" xfId="0" applyFont="1" applyBorder="1" applyAlignment="1">
      <alignment horizontal="center" vertical="top"/>
    </xf>
    <xf numFmtId="0" fontId="42" fillId="0" borderId="63" xfId="0" applyFont="1" applyBorder="1" applyAlignment="1">
      <alignment horizontal="center" vertical="top"/>
    </xf>
    <xf numFmtId="0" fontId="42" fillId="2" borderId="1" xfId="0" applyFont="1" applyFill="1" applyBorder="1" applyAlignment="1">
      <alignment horizontal="center" wrapText="1"/>
    </xf>
    <xf numFmtId="0" fontId="42" fillId="2" borderId="2" xfId="0" applyFont="1" applyFill="1" applyBorder="1" applyAlignment="1">
      <alignment horizontal="center" wrapText="1"/>
    </xf>
    <xf numFmtId="0" fontId="42" fillId="2" borderId="56" xfId="0" applyFont="1" applyFill="1" applyBorder="1" applyAlignment="1">
      <alignment horizontal="center" wrapText="1"/>
    </xf>
    <xf numFmtId="0" fontId="42" fillId="0" borderId="7" xfId="0" applyFont="1" applyBorder="1" applyAlignment="1">
      <alignment horizontal="center" vertical="top" wrapText="1"/>
    </xf>
    <xf numFmtId="0" fontId="42" fillId="0" borderId="4" xfId="0" applyFont="1" applyBorder="1" applyAlignment="1">
      <alignment horizontal="center" vertical="top" wrapText="1"/>
    </xf>
    <xf numFmtId="0" fontId="42" fillId="0" borderId="41" xfId="0" applyFont="1" applyBorder="1" applyAlignment="1">
      <alignment horizontal="center" vertical="top" wrapText="1"/>
    </xf>
    <xf numFmtId="0" fontId="42" fillId="0" borderId="39" xfId="0" applyFont="1" applyBorder="1" applyAlignment="1">
      <alignment horizontal="center" vertical="top" wrapText="1"/>
    </xf>
    <xf numFmtId="0" fontId="42" fillId="0" borderId="36" xfId="0" applyFont="1" applyBorder="1" applyAlignment="1">
      <alignment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7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18" xfId="0" applyFont="1" applyBorder="1" applyAlignment="1">
      <alignment horizontal="justify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36" fillId="0" borderId="22" xfId="0" applyFont="1" applyBorder="1" applyAlignment="1">
      <alignment horizontal="center" vertical="top" wrapText="1"/>
    </xf>
    <xf numFmtId="0" fontId="36" fillId="0" borderId="18" xfId="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3" fillId="0" borderId="18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43" fillId="0" borderId="8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25" xfId="0" applyFont="1" applyBorder="1" applyAlignment="1">
      <alignment horizontal="center" vertical="top" wrapText="1"/>
    </xf>
    <xf numFmtId="0" fontId="16" fillId="0" borderId="70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3" fillId="0" borderId="71" xfId="0" applyFont="1" applyBorder="1" applyAlignment="1">
      <alignment horizontal="center" vertical="top" wrapText="1"/>
    </xf>
    <xf numFmtId="0" fontId="24" fillId="0" borderId="40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center" vertical="top" wrapText="1"/>
    </xf>
    <xf numFmtId="0" fontId="24" fillId="0" borderId="72" xfId="0" applyFont="1" applyBorder="1" applyAlignment="1">
      <alignment horizontal="center" vertical="top" wrapText="1"/>
    </xf>
    <xf numFmtId="0" fontId="43" fillId="0" borderId="7" xfId="0" applyFont="1" applyBorder="1"/>
    <xf numFmtId="0" fontId="43" fillId="0" borderId="4" xfId="0" applyFont="1" applyBorder="1"/>
    <xf numFmtId="0" fontId="43" fillId="0" borderId="46" xfId="0" applyFont="1" applyBorder="1"/>
    <xf numFmtId="0" fontId="43" fillId="0" borderId="7" xfId="0" applyFont="1" applyBorder="1" applyAlignment="1">
      <alignment horizontal="left"/>
    </xf>
    <xf numFmtId="0" fontId="43" fillId="0" borderId="4" xfId="0" applyFont="1" applyBorder="1" applyAlignment="1">
      <alignment horizontal="left"/>
    </xf>
    <xf numFmtId="0" fontId="42" fillId="0" borderId="23" xfId="0" applyFont="1" applyBorder="1" applyAlignment="1">
      <alignment horizontal="center" vertical="top" wrapText="1"/>
    </xf>
    <xf numFmtId="0" fontId="41" fillId="0" borderId="24" xfId="0" applyFont="1" applyBorder="1"/>
    <xf numFmtId="0" fontId="41" fillId="0" borderId="25" xfId="0" applyFont="1" applyBorder="1"/>
    <xf numFmtId="0" fontId="42" fillId="0" borderId="31" xfId="0" applyFont="1" applyBorder="1" applyAlignment="1">
      <alignment horizontal="center" vertical="top" wrapText="1"/>
    </xf>
    <xf numFmtId="0" fontId="42" fillId="0" borderId="32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justify" vertical="top" wrapText="1"/>
    </xf>
    <xf numFmtId="0" fontId="11" fillId="0" borderId="17" xfId="0" applyFont="1" applyBorder="1" applyAlignment="1">
      <alignment horizontal="justify" vertical="top" wrapText="1"/>
    </xf>
    <xf numFmtId="0" fontId="11" fillId="0" borderId="18" xfId="0" applyFont="1" applyBorder="1" applyAlignment="1">
      <alignment horizontal="justify" vertical="top" wrapText="1"/>
    </xf>
    <xf numFmtId="0" fontId="43" fillId="0" borderId="43" xfId="0" applyFont="1" applyBorder="1" applyAlignment="1">
      <alignment wrapText="1"/>
    </xf>
    <xf numFmtId="0" fontId="43" fillId="0" borderId="44" xfId="0" applyFont="1" applyBorder="1" applyAlignment="1">
      <alignment wrapText="1"/>
    </xf>
    <xf numFmtId="0" fontId="43" fillId="0" borderId="45" xfId="0" applyFont="1" applyBorder="1" applyAlignment="1">
      <alignment wrapText="1"/>
    </xf>
    <xf numFmtId="0" fontId="42" fillId="0" borderId="29" xfId="0" applyFont="1" applyBorder="1" applyAlignment="1">
      <alignment vertical="top" wrapText="1"/>
    </xf>
    <xf numFmtId="0" fontId="42" fillId="0" borderId="7" xfId="0" applyFont="1" applyBorder="1" applyAlignment="1">
      <alignment vertical="top" wrapText="1"/>
    </xf>
    <xf numFmtId="0" fontId="42" fillId="0" borderId="33" xfId="0" applyFont="1" applyBorder="1" applyAlignment="1">
      <alignment vertical="top" wrapText="1"/>
    </xf>
    <xf numFmtId="0" fontId="30" fillId="0" borderId="31" xfId="0" applyFont="1" applyBorder="1" applyAlignment="1">
      <alignment vertical="top" wrapText="1"/>
    </xf>
    <xf numFmtId="0" fontId="30" fillId="0" borderId="32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0" borderId="34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53" xfId="0" applyFont="1" applyBorder="1" applyAlignment="1">
      <alignment horizontal="center" vertical="top" wrapText="1"/>
    </xf>
    <xf numFmtId="0" fontId="30" fillId="0" borderId="54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28" fillId="0" borderId="34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9" fillId="0" borderId="1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right" vertical="top" wrapText="1"/>
    </xf>
    <xf numFmtId="0" fontId="16" fillId="0" borderId="20" xfId="0" applyFont="1" applyBorder="1" applyAlignment="1">
      <alignment horizontal="right" vertical="top" wrapText="1"/>
    </xf>
    <xf numFmtId="0" fontId="16" fillId="0" borderId="21" xfId="0" applyFont="1" applyBorder="1" applyAlignment="1">
      <alignment horizontal="right" vertical="top" wrapText="1"/>
    </xf>
    <xf numFmtId="0" fontId="43" fillId="0" borderId="46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top" wrapText="1"/>
    </xf>
    <xf numFmtId="0" fontId="25" fillId="0" borderId="47" xfId="0" applyFont="1" applyBorder="1" applyAlignment="1">
      <alignment horizontal="center" vertical="top" wrapText="1"/>
    </xf>
    <xf numFmtId="0" fontId="25" fillId="0" borderId="48" xfId="0" applyFont="1" applyBorder="1" applyAlignment="1">
      <alignment horizontal="center" vertical="top" wrapText="1"/>
    </xf>
    <xf numFmtId="0" fontId="25" fillId="0" borderId="7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3" fillId="0" borderId="42" xfId="0" applyFont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center" vertical="top" wrapText="1"/>
    </xf>
    <xf numFmtId="0" fontId="13" fillId="0" borderId="48" xfId="0" applyFont="1" applyBorder="1" applyAlignment="1">
      <alignment vertical="top" wrapText="1"/>
    </xf>
    <xf numFmtId="0" fontId="13" fillId="0" borderId="73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7" fillId="0" borderId="23" xfId="0" applyFont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 wrapText="1"/>
    </xf>
    <xf numFmtId="0" fontId="13" fillId="0" borderId="7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70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71" xfId="0" applyFont="1" applyBorder="1" applyAlignment="1">
      <alignment horizontal="center" vertical="top" wrapText="1"/>
    </xf>
    <xf numFmtId="0" fontId="42" fillId="0" borderId="23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0" fontId="42" fillId="0" borderId="31" xfId="0" applyFont="1" applyBorder="1" applyAlignment="1">
      <alignment horizontal="right" vertical="top" wrapText="1"/>
    </xf>
    <xf numFmtId="0" fontId="42" fillId="0" borderId="32" xfId="0" applyFont="1" applyBorder="1" applyAlignment="1">
      <alignment horizontal="right" vertical="top" wrapText="1"/>
    </xf>
    <xf numFmtId="0" fontId="26" fillId="0" borderId="12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11" fillId="0" borderId="60" xfId="0" applyFont="1" applyBorder="1" applyAlignment="1">
      <alignment horizontal="center" vertical="top" wrapText="1"/>
    </xf>
    <xf numFmtId="0" fontId="11" fillId="0" borderId="58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76" xfId="0" applyFont="1" applyBorder="1" applyAlignment="1">
      <alignment horizontal="center" vertical="top" wrapText="1"/>
    </xf>
    <xf numFmtId="0" fontId="11" fillId="0" borderId="49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top" wrapText="1"/>
    </xf>
    <xf numFmtId="0" fontId="24" fillId="0" borderId="31" xfId="0" applyFont="1" applyBorder="1" applyAlignment="1">
      <alignment horizontal="center" vertical="top" wrapText="1"/>
    </xf>
    <xf numFmtId="0" fontId="24" fillId="0" borderId="32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42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5" fillId="0" borderId="29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24" fillId="0" borderId="70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28" xfId="0" applyFont="1" applyBorder="1" applyAlignment="1">
      <alignment horizontal="center" vertical="top" wrapText="1"/>
    </xf>
    <xf numFmtId="0" fontId="25" fillId="0" borderId="74" xfId="0" applyFont="1" applyBorder="1" applyAlignment="1">
      <alignment horizontal="center" vertical="top" wrapText="1"/>
    </xf>
    <xf numFmtId="0" fontId="25" fillId="0" borderId="44" xfId="0" applyFont="1" applyBorder="1" applyAlignment="1">
      <alignment horizontal="center" vertical="top" wrapText="1"/>
    </xf>
    <xf numFmtId="0" fontId="25" fillId="0" borderId="75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0" fontId="5" fillId="0" borderId="7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wrapText="1"/>
    </xf>
    <xf numFmtId="0" fontId="17" fillId="0" borderId="66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2" fontId="2" fillId="0" borderId="7" xfId="0" applyNumberFormat="1" applyFont="1" applyBorder="1"/>
    <xf numFmtId="2" fontId="2" fillId="0" borderId="33" xfId="0" applyNumberFormat="1" applyFont="1" applyBorder="1"/>
    <xf numFmtId="2" fontId="2" fillId="0" borderId="35" xfId="0" applyNumberFormat="1" applyFont="1" applyBorder="1"/>
    <xf numFmtId="2" fontId="2" fillId="0" borderId="4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4" fillId="0" borderId="42" xfId="0" applyFont="1" applyBorder="1" applyAlignment="1">
      <alignment vertical="top" wrapText="1"/>
    </xf>
    <xf numFmtId="0" fontId="54" fillId="0" borderId="27" xfId="0" applyFont="1" applyBorder="1" applyAlignment="1">
      <alignment vertical="top" wrapText="1"/>
    </xf>
    <xf numFmtId="0" fontId="42" fillId="0" borderId="1" xfId="0" applyFont="1" applyBorder="1" applyAlignment="1">
      <alignment horizontal="center" vertical="top"/>
    </xf>
    <xf numFmtId="0" fontId="42" fillId="0" borderId="2" xfId="0" applyFont="1" applyBorder="1" applyAlignment="1">
      <alignment horizontal="center" vertical="top"/>
    </xf>
    <xf numFmtId="0" fontId="42" fillId="0" borderId="3" xfId="0" applyFont="1" applyBorder="1" applyAlignment="1">
      <alignment horizontal="center" vertical="top"/>
    </xf>
    <xf numFmtId="0" fontId="42" fillId="2" borderId="7" xfId="0" applyFont="1" applyFill="1" applyBorder="1" applyAlignment="1">
      <alignment wrapText="1"/>
    </xf>
    <xf numFmtId="0" fontId="42" fillId="2" borderId="33" xfId="0" applyFont="1" applyFill="1" applyBorder="1" applyAlignment="1">
      <alignment wrapText="1"/>
    </xf>
    <xf numFmtId="0" fontId="42" fillId="2" borderId="3" xfId="0" applyFont="1" applyFill="1" applyBorder="1" applyAlignment="1">
      <alignment horizont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4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" fillId="0" borderId="33" xfId="0" applyFont="1" applyBorder="1"/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/>
    </xf>
    <xf numFmtId="0" fontId="16" fillId="0" borderId="37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right" vertical="top" wrapText="1"/>
    </xf>
    <xf numFmtId="0" fontId="1" fillId="0" borderId="32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50" fillId="0" borderId="34" xfId="0" applyFont="1" applyBorder="1"/>
    <xf numFmtId="0" fontId="50" fillId="0" borderId="0" xfId="0" applyFont="1"/>
    <xf numFmtId="0" fontId="50" fillId="0" borderId="13" xfId="0" applyFont="1" applyBorder="1"/>
    <xf numFmtId="0" fontId="46" fillId="0" borderId="31" xfId="0" applyFont="1" applyBorder="1"/>
    <xf numFmtId="0" fontId="46" fillId="0" borderId="32" xfId="0" applyFont="1" applyBorder="1"/>
    <xf numFmtId="0" fontId="46" fillId="0" borderId="30" xfId="0" applyFont="1" applyBorder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/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1" fillId="0" borderId="58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 wrapText="1"/>
    </xf>
    <xf numFmtId="0" fontId="42" fillId="0" borderId="35" xfId="0" applyFont="1" applyBorder="1" applyAlignment="1">
      <alignment horizontal="right" vertical="center" wrapText="1"/>
    </xf>
    <xf numFmtId="0" fontId="42" fillId="0" borderId="33" xfId="0" applyFont="1" applyBorder="1" applyAlignment="1">
      <alignment horizontal="right" vertical="center" wrapText="1"/>
    </xf>
    <xf numFmtId="0" fontId="51" fillId="0" borderId="88" xfId="0" applyFont="1" applyBorder="1"/>
    <xf numFmtId="0" fontId="51" fillId="0" borderId="89" xfId="0" applyFont="1" applyBorder="1"/>
    <xf numFmtId="0" fontId="51" fillId="0" borderId="90" xfId="0" applyFont="1" applyBorder="1"/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3" fillId="0" borderId="33" xfId="0" applyFont="1" applyBorder="1"/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49" fillId="0" borderId="85" xfId="0" applyFont="1" applyBorder="1" applyAlignment="1">
      <alignment horizontal="right"/>
    </xf>
    <xf numFmtId="0" fontId="49" fillId="0" borderId="0" xfId="0" applyFont="1" applyAlignment="1">
      <alignment horizontal="right"/>
    </xf>
    <xf numFmtId="0" fontId="49" fillId="0" borderId="86" xfId="0" applyFont="1" applyBorder="1" applyAlignment="1">
      <alignment horizontal="right"/>
    </xf>
    <xf numFmtId="0" fontId="17" fillId="0" borderId="82" xfId="0" applyFont="1" applyBorder="1" applyAlignment="1">
      <alignment horizontal="center" wrapText="1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43" fillId="0" borderId="35" xfId="0" applyFont="1" applyBorder="1"/>
    <xf numFmtId="0" fontId="43" fillId="0" borderId="7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8" fillId="0" borderId="31" xfId="0" applyFont="1" applyBorder="1"/>
    <xf numFmtId="0" fontId="48" fillId="0" borderId="32" xfId="0" applyFont="1" applyBorder="1"/>
    <xf numFmtId="0" fontId="48" fillId="0" borderId="30" xfId="0" applyFont="1" applyBorder="1"/>
    <xf numFmtId="0" fontId="17" fillId="0" borderId="87" xfId="0" applyFont="1" applyBorder="1" applyAlignment="1">
      <alignment horizontal="center" wrapText="1"/>
    </xf>
    <xf numFmtId="0" fontId="17" fillId="0" borderId="91" xfId="0" applyFont="1" applyBorder="1" applyAlignment="1">
      <alignment horizontal="center" wrapText="1"/>
    </xf>
    <xf numFmtId="0" fontId="17" fillId="0" borderId="87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top"/>
    </xf>
    <xf numFmtId="0" fontId="2" fillId="0" borderId="9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horizontal="center"/>
    </xf>
    <xf numFmtId="0" fontId="40" fillId="0" borderId="1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40" fillId="0" borderId="7" xfId="0" applyFont="1" applyBorder="1" applyAlignment="1">
      <alignment horizontal="center" vertical="top"/>
    </xf>
    <xf numFmtId="0" fontId="40" fillId="0" borderId="4" xfId="0" applyFont="1" applyBorder="1" applyAlignment="1">
      <alignment horizontal="center" vertical="top"/>
    </xf>
    <xf numFmtId="0" fontId="40" fillId="0" borderId="1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top"/>
    </xf>
    <xf numFmtId="0" fontId="40" fillId="0" borderId="8" xfId="0" applyFont="1" applyBorder="1" applyAlignment="1">
      <alignment horizontal="center" vertical="top"/>
    </xf>
    <xf numFmtId="0" fontId="55" fillId="0" borderId="0" xfId="0" applyFont="1" applyBorder="1" applyAlignment="1">
      <alignment horizontal="center"/>
    </xf>
    <xf numFmtId="0" fontId="49" fillId="0" borderId="7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IN"/>
            </a:pPr>
            <a:r>
              <a:rPr lang="en-US"/>
              <a:t>2013-14</a:t>
            </a:r>
          </a:p>
        </c:rich>
      </c:tx>
    </c:title>
    <c:view3D>
      <c:rotX val="30"/>
      <c:perspective val="10"/>
    </c:view3D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3.6477391153312194E-2"/>
                  <c:y val="-2.975031489858093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1-4FDA-AAF0-2EC67E4A9848}"/>
                </c:ext>
              </c:extLst>
            </c:dLbl>
            <c:dLbl>
              <c:idx val="1"/>
              <c:layout>
                <c:manualLayout>
                  <c:x val="-9.0756233595802194E-3"/>
                  <c:y val="-5.361900684400273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1-4FDA-AAF0-2EC67E4A9848}"/>
                </c:ext>
              </c:extLst>
            </c:dLbl>
            <c:dLbl>
              <c:idx val="4"/>
              <c:layout>
                <c:manualLayout>
                  <c:x val="-4.1157171530029325E-2"/>
                  <c:y val="-0.1513446014283694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D1-4FDA-AAF0-2EC67E4A9848}"/>
                </c:ext>
              </c:extLst>
            </c:dLbl>
            <c:dLbl>
              <c:idx val="5"/>
              <c:layout>
                <c:manualLayout>
                  <c:x val="7.7438918480778135E-2"/>
                  <c:y val="4.424992088754882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D1-4FDA-AAF0-2EC67E4A9848}"/>
                </c:ext>
              </c:extLst>
            </c:dLbl>
            <c:dLbl>
              <c:idx val="6"/>
              <c:layout>
                <c:manualLayout>
                  <c:x val="9.4796612050331963E-2"/>
                  <c:y val="1.2588497359815841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D1-4FDA-AAF0-2EC67E4A9848}"/>
                </c:ext>
              </c:extLst>
            </c:dLbl>
            <c:dLbl>
              <c:idx val="7"/>
              <c:layout>
                <c:manualLayout>
                  <c:x val="7.3693574378570326E-2"/>
                  <c:y val="3.9184242040666992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D1-4FDA-AAF0-2EC67E4A9848}"/>
                </c:ext>
              </c:extLst>
            </c:dLbl>
            <c:dLbl>
              <c:idx val="8"/>
              <c:layout>
                <c:manualLayout>
                  <c:x val="-0.15319109927435542"/>
                  <c:y val="3.425910413680559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D1-4FDA-AAF0-2EC67E4A9848}"/>
                </c:ext>
              </c:extLst>
            </c:dLbl>
            <c:dLbl>
              <c:idx val="9"/>
              <c:layout>
                <c:manualLayout>
                  <c:x val="4.9034323375019312E-2"/>
                  <c:y val="-0.25169331670420625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D1-4FDA-AAF0-2EC67E4A9848}"/>
                </c:ext>
              </c:extLst>
            </c:dLbl>
            <c:dLbl>
              <c:idx val="11"/>
              <c:layout>
                <c:manualLayout>
                  <c:x val="5.9735409911997588E-3"/>
                  <c:y val="-4.16866774631894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D1-4FDA-AAF0-2EC67E4A98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 sz="900"/>
                </a:pPr>
                <a:endParaRPr lang="en-US"/>
              </a:p>
            </c:txPr>
            <c:dLblPos val="bestFit"/>
            <c:showCatName val="1"/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'Table-2014-15(Table 4-28)-Chart'!$M$167:$M$178</c:f>
              <c:strCache>
                <c:ptCount val="12"/>
                <c:pt idx="0">
                  <c:v>KDS</c:v>
                </c:pt>
                <c:pt idx="1">
                  <c:v>HDC</c:v>
                </c:pt>
                <c:pt idx="2">
                  <c:v>PPT</c:v>
                </c:pt>
                <c:pt idx="3">
                  <c:v>VPT</c:v>
                </c:pt>
                <c:pt idx="4">
                  <c:v>Chpt</c:v>
                </c:pt>
                <c:pt idx="5">
                  <c:v>TPT</c:v>
                </c:pt>
                <c:pt idx="6">
                  <c:v>CoPT</c:v>
                </c:pt>
                <c:pt idx="7">
                  <c:v>NMPT</c:v>
                </c:pt>
                <c:pt idx="8">
                  <c:v>MoPT</c:v>
                </c:pt>
                <c:pt idx="9">
                  <c:v>JNPT</c:v>
                </c:pt>
                <c:pt idx="10">
                  <c:v>MbPT</c:v>
                </c:pt>
                <c:pt idx="11">
                  <c:v>KPT</c:v>
                </c:pt>
              </c:strCache>
            </c:strRef>
          </c:cat>
          <c:val>
            <c:numRef>
              <c:f>'Table-2014-15(Table 4-28)-Chart'!$N$167:$N$178</c:f>
              <c:numCache>
                <c:formatCode>0.0</c:formatCode>
                <c:ptCount val="12"/>
                <c:pt idx="0">
                  <c:v>6.7899632454517285</c:v>
                </c:pt>
                <c:pt idx="1">
                  <c:v>1.6393030868797149</c:v>
                </c:pt>
                <c:pt idx="2">
                  <c:v>5.6094640868713429E-2</c:v>
                </c:pt>
                <c:pt idx="3">
                  <c:v>3.6603846250450012</c:v>
                </c:pt>
                <c:pt idx="4">
                  <c:v>25.070955534531691</c:v>
                </c:pt>
                <c:pt idx="5">
                  <c:v>9.2380338409758789</c:v>
                </c:pt>
                <c:pt idx="6">
                  <c:v>4.3921266566756811</c:v>
                </c:pt>
                <c:pt idx="7">
                  <c:v>0.7702547701375575</c:v>
                </c:pt>
                <c:pt idx="8">
                  <c:v>0.26121683509012816</c:v>
                </c:pt>
                <c:pt idx="9">
                  <c:v>47.666211769827783</c:v>
                </c:pt>
                <c:pt idx="10">
                  <c:v>0.45545499451612093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D1-4FDA-AAF0-2EC67E4A9848}"/>
            </c:ext>
          </c:extLst>
        </c:ser>
      </c:pie3DChart>
    </c:plotArea>
    <c:plotVisOnly val="1"/>
    <c:dispBlanksAs val="zero"/>
  </c:chart>
  <c:printSettings>
    <c:headerFooter/>
    <c:pageMargins b="0.75000000000000711" l="0.70000000000000062" r="0.70000000000000062" t="0.7500000000000071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IN"/>
            </a:pPr>
            <a:r>
              <a:rPr lang="en-US"/>
              <a:t>2014-15</a:t>
            </a:r>
          </a:p>
        </c:rich>
      </c:tx>
    </c:title>
    <c:view3D>
      <c:rotX val="30"/>
      <c:perspective val="10"/>
    </c:view3D>
    <c:plotArea>
      <c:layout>
        <c:manualLayout>
          <c:layoutTarget val="inner"/>
          <c:xMode val="edge"/>
          <c:yMode val="edge"/>
          <c:x val="8.2754629629629747E-2"/>
          <c:y val="0.19252340797825787"/>
          <c:w val="0.81134259259259822"/>
          <c:h val="0.789684920337338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1124280037911929E-2"/>
                  <c:y val="-5.9061633253291557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18-4183-BA07-1981B86D7DFB}"/>
                </c:ext>
              </c:extLst>
            </c:dLbl>
            <c:dLbl>
              <c:idx val="1"/>
              <c:layout>
                <c:manualLayout>
                  <c:x val="-2.0054019940215807E-2"/>
                  <c:y val="-5.8136482939633777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18-4183-BA07-1981B86D7DFB}"/>
                </c:ext>
              </c:extLst>
            </c:dLbl>
            <c:dLbl>
              <c:idx val="2"/>
              <c:layout>
                <c:manualLayout>
                  <c:x val="2.277028196996209E-2"/>
                  <c:y val="-7.2290165856927519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18-4183-BA07-1981B86D7DFB}"/>
                </c:ext>
              </c:extLst>
            </c:dLbl>
            <c:dLbl>
              <c:idx val="4"/>
              <c:layout>
                <c:manualLayout>
                  <c:x val="1.3491656641878121E-2"/>
                  <c:y val="-7.1856443476480333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18-4183-BA07-1981B86D7DFB}"/>
                </c:ext>
              </c:extLst>
            </c:dLbl>
            <c:dLbl>
              <c:idx val="5"/>
              <c:layout>
                <c:manualLayout>
                  <c:x val="4.7867681904347203E-2"/>
                  <c:y val="-7.3882342721344224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18-4183-BA07-1981B86D7DFB}"/>
                </c:ext>
              </c:extLst>
            </c:dLbl>
            <c:dLbl>
              <c:idx val="6"/>
              <c:layout>
                <c:manualLayout>
                  <c:x val="0.10729895742199089"/>
                  <c:y val="1.1548866675353524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18-4183-BA07-1981B86D7DFB}"/>
                </c:ext>
              </c:extLst>
            </c:dLbl>
            <c:dLbl>
              <c:idx val="7"/>
              <c:layout>
                <c:manualLayout>
                  <c:x val="6.7058544765237676E-2"/>
                  <c:y val="5.8393055477994317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18-4183-BA07-1981B86D7DFB}"/>
                </c:ext>
              </c:extLst>
            </c:dLbl>
            <c:dLbl>
              <c:idx val="8"/>
              <c:layout>
                <c:manualLayout>
                  <c:x val="-6.62809401428988E-2"/>
                  <c:y val="8.3314098149081375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18-4183-BA07-1981B86D7DFB}"/>
                </c:ext>
              </c:extLst>
            </c:dLbl>
            <c:dLbl>
              <c:idx val="9"/>
              <c:layout>
                <c:manualLayout>
                  <c:x val="-3.3917277267425425E-2"/>
                  <c:y val="1.4966214329591779E-3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18-4183-BA07-1981B86D7DFB}"/>
                </c:ext>
              </c:extLst>
            </c:dLbl>
            <c:dLbl>
              <c:idx val="10"/>
              <c:layout>
                <c:manualLayout>
                  <c:x val="-0.23528953412073494"/>
                  <c:y val="4.7529519802932463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18-4183-BA07-1981B86D7DFB}"/>
                </c:ext>
              </c:extLst>
            </c:dLbl>
            <c:dLbl>
              <c:idx val="11"/>
              <c:layout>
                <c:manualLayout>
                  <c:x val="1.7831592665500345E-3"/>
                  <c:y val="-4.7781748912591814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18-4183-BA07-1981B86D7DF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N" sz="900"/>
                </a:pPr>
                <a:endParaRPr lang="en-US"/>
              </a:p>
            </c:txPr>
            <c:showCatName val="1"/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'Table-2014-15(Table 4-28)-Chart'!$O$167:$O$178</c:f>
              <c:strCache>
                <c:ptCount val="12"/>
                <c:pt idx="0">
                  <c:v>KDS</c:v>
                </c:pt>
                <c:pt idx="1">
                  <c:v>HDC</c:v>
                </c:pt>
                <c:pt idx="2">
                  <c:v>PPT</c:v>
                </c:pt>
                <c:pt idx="3">
                  <c:v>VPT</c:v>
                </c:pt>
                <c:pt idx="4">
                  <c:v>Chpt</c:v>
                </c:pt>
                <c:pt idx="5">
                  <c:v>TPT</c:v>
                </c:pt>
                <c:pt idx="6">
                  <c:v>CoPT</c:v>
                </c:pt>
                <c:pt idx="7">
                  <c:v>NMPT</c:v>
                </c:pt>
                <c:pt idx="8">
                  <c:v>MoPT</c:v>
                </c:pt>
                <c:pt idx="9">
                  <c:v>JNPT</c:v>
                </c:pt>
                <c:pt idx="10">
                  <c:v>MbPT</c:v>
                </c:pt>
                <c:pt idx="11">
                  <c:v>KPT</c:v>
                </c:pt>
              </c:strCache>
            </c:strRef>
          </c:cat>
          <c:val>
            <c:numRef>
              <c:f>'Table-2014-15(Table 4-28)-Chart'!$P$167:$P$178</c:f>
              <c:numCache>
                <c:formatCode>0.0</c:formatCode>
                <c:ptCount val="12"/>
                <c:pt idx="0">
                  <c:v>6.6331658291457289</c:v>
                </c:pt>
                <c:pt idx="1">
                  <c:v>1.2814070351758795</c:v>
                </c:pt>
                <c:pt idx="2">
                  <c:v>5.0251256281407038E-2</c:v>
                </c:pt>
                <c:pt idx="3">
                  <c:v>3.1155778894472363</c:v>
                </c:pt>
                <c:pt idx="4">
                  <c:v>19.497487437185928</c:v>
                </c:pt>
                <c:pt idx="5">
                  <c:v>7.0351758793969852</c:v>
                </c:pt>
                <c:pt idx="6">
                  <c:v>4.5979899497487438</c:v>
                </c:pt>
                <c:pt idx="7">
                  <c:v>0.79145728643216073</c:v>
                </c:pt>
                <c:pt idx="8">
                  <c:v>0.314070351758794</c:v>
                </c:pt>
                <c:pt idx="9">
                  <c:v>56.118090452261306</c:v>
                </c:pt>
                <c:pt idx="10">
                  <c:v>0.56532663316582921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A18-4183-BA07-1981B86D7DFB}"/>
            </c:ext>
          </c:extLst>
        </c:ser>
      </c:pie3DChart>
    </c:plotArea>
    <c:plotVisOnly val="1"/>
    <c:dispBlanksAs val="zero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571500</xdr:colOff>
      <xdr:row>166</xdr:row>
      <xdr:rowOff>30480</xdr:rowOff>
    </xdr:from>
    <xdr:to>
      <xdr:col>23</xdr:col>
      <xdr:colOff>373380</xdr:colOff>
      <xdr:row>181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335280</xdr:colOff>
      <xdr:row>166</xdr:row>
      <xdr:rowOff>30480</xdr:rowOff>
    </xdr:from>
    <xdr:to>
      <xdr:col>31</xdr:col>
      <xdr:colOff>457200</xdr:colOff>
      <xdr:row>181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P566"/>
  <sheetViews>
    <sheetView topLeftCell="A379" workbookViewId="0">
      <selection activeCell="M215" sqref="M215"/>
    </sheetView>
  </sheetViews>
  <sheetFormatPr defaultRowHeight="15"/>
  <cols>
    <col min="2" max="2" width="23.28515625" customWidth="1"/>
    <col min="3" max="3" width="10.28515625" customWidth="1"/>
    <col min="5" max="5" width="11.7109375" customWidth="1"/>
    <col min="7" max="7" width="10.28515625" customWidth="1"/>
    <col min="8" max="8" width="13.5703125" customWidth="1"/>
    <col min="9" max="9" width="10.42578125" customWidth="1"/>
    <col min="10" max="10" width="12.42578125" customWidth="1"/>
    <col min="11" max="11" width="12.85546875" customWidth="1"/>
    <col min="12" max="12" width="9.42578125" customWidth="1"/>
    <col min="13" max="13" width="13" customWidth="1"/>
    <col min="14" max="14" width="10.7109375" customWidth="1"/>
    <col min="15" max="15" width="9.140625" customWidth="1"/>
    <col min="16" max="16" width="9.140625" bestFit="1" customWidth="1"/>
    <col min="17" max="17" width="9.7109375" bestFit="1" customWidth="1"/>
    <col min="18" max="18" width="9.28515625" bestFit="1" customWidth="1"/>
    <col min="35" max="35" width="30.28515625" customWidth="1"/>
    <col min="36" max="37" width="10.7109375" customWidth="1"/>
    <col min="38" max="38" width="11.7109375" customWidth="1"/>
    <col min="39" max="39" width="10.42578125" customWidth="1"/>
    <col min="40" max="40" width="8.5703125" customWidth="1"/>
    <col min="41" max="41" width="0" hidden="1" customWidth="1"/>
    <col min="42" max="42" width="0.5703125" hidden="1" customWidth="1"/>
  </cols>
  <sheetData>
    <row r="1" spans="7:42" ht="15.75" thickBot="1"/>
    <row r="2" spans="7:42" ht="27" customHeight="1">
      <c r="V2" s="500" t="s">
        <v>31</v>
      </c>
      <c r="W2" s="501"/>
      <c r="X2" s="501"/>
      <c r="Y2" s="501"/>
      <c r="Z2" s="501"/>
      <c r="AA2" s="501"/>
      <c r="AB2" s="501"/>
      <c r="AC2" s="502"/>
    </row>
    <row r="3" spans="7:42" ht="15" customHeight="1">
      <c r="V3" s="15"/>
      <c r="W3" s="16"/>
      <c r="X3" s="16"/>
      <c r="Y3" s="16"/>
      <c r="Z3" s="16"/>
      <c r="AA3" s="16"/>
      <c r="AB3" s="16"/>
      <c r="AC3" s="9"/>
    </row>
    <row r="4" spans="7:42" ht="15.75" thickBot="1">
      <c r="V4" s="17"/>
      <c r="W4" s="7"/>
      <c r="X4" s="7"/>
      <c r="Y4" s="7"/>
      <c r="Z4" s="7"/>
      <c r="AA4" s="7"/>
      <c r="AB4" s="7"/>
      <c r="AC4" s="18"/>
    </row>
    <row r="5" spans="7:42" ht="31.15" customHeight="1" thickBot="1">
      <c r="V5" s="6"/>
      <c r="W5" s="483" t="s">
        <v>32</v>
      </c>
      <c r="X5" s="503"/>
      <c r="Y5" s="503"/>
      <c r="Z5" s="503"/>
      <c r="AA5" s="503"/>
      <c r="AB5" s="503"/>
      <c r="AC5" s="484"/>
    </row>
    <row r="6" spans="7:42" ht="45" customHeight="1" thickBot="1">
      <c r="G6" s="5" t="s">
        <v>42</v>
      </c>
      <c r="H6" s="506" t="s">
        <v>16</v>
      </c>
      <c r="I6" s="507"/>
      <c r="J6" s="507"/>
      <c r="K6" s="507"/>
      <c r="L6" s="507"/>
      <c r="M6" s="507"/>
      <c r="N6" s="507"/>
      <c r="O6" s="507"/>
      <c r="P6" s="508"/>
      <c r="Q6" s="212"/>
      <c r="R6" s="204"/>
      <c r="S6" s="23" t="s">
        <v>40</v>
      </c>
      <c r="V6" s="8" t="s">
        <v>0</v>
      </c>
      <c r="W6" s="19" t="s">
        <v>33</v>
      </c>
      <c r="X6" s="19" t="s">
        <v>34</v>
      </c>
      <c r="Y6" s="10" t="s">
        <v>35</v>
      </c>
      <c r="Z6" s="19" t="s">
        <v>2</v>
      </c>
      <c r="AA6" s="19" t="s">
        <v>3</v>
      </c>
      <c r="AB6" s="19" t="s">
        <v>4</v>
      </c>
      <c r="AC6" s="19" t="s">
        <v>5</v>
      </c>
      <c r="AE6" s="5"/>
    </row>
    <row r="7" spans="7:42" ht="75.75" thickBot="1">
      <c r="G7" s="26" t="s">
        <v>39</v>
      </c>
      <c r="H7" s="1" t="s">
        <v>0</v>
      </c>
      <c r="I7" s="2" t="s">
        <v>17</v>
      </c>
      <c r="J7" s="2" t="s">
        <v>18</v>
      </c>
      <c r="K7" s="2" t="s">
        <v>19</v>
      </c>
      <c r="L7" s="2" t="s">
        <v>1</v>
      </c>
      <c r="M7" s="2" t="s">
        <v>20</v>
      </c>
      <c r="N7" s="2" t="s">
        <v>21</v>
      </c>
      <c r="O7" s="2" t="s">
        <v>4</v>
      </c>
      <c r="P7" s="2" t="s">
        <v>5</v>
      </c>
      <c r="S7" s="24" t="s">
        <v>38</v>
      </c>
      <c r="V7" s="11"/>
      <c r="W7" s="20"/>
      <c r="X7" s="20"/>
      <c r="Y7" s="12" t="s">
        <v>36</v>
      </c>
      <c r="Z7" s="20"/>
      <c r="AA7" s="20"/>
      <c r="AB7" s="20"/>
      <c r="AC7" s="20"/>
      <c r="AE7" s="5" t="s">
        <v>41</v>
      </c>
    </row>
    <row r="8" spans="7:42" ht="31.15" customHeight="1" thickBot="1">
      <c r="G8">
        <f>+S8+AE8</f>
        <v>387.46999999999997</v>
      </c>
      <c r="H8" s="504" t="s">
        <v>6</v>
      </c>
      <c r="I8" s="3">
        <v>122.16</v>
      </c>
      <c r="J8" s="3">
        <v>2.86</v>
      </c>
      <c r="K8" s="3">
        <v>8.94</v>
      </c>
      <c r="L8" s="3">
        <v>58.85</v>
      </c>
      <c r="M8" s="3">
        <v>54.9</v>
      </c>
      <c r="N8" s="3">
        <v>6.84</v>
      </c>
      <c r="O8" s="3">
        <v>90.25</v>
      </c>
      <c r="P8" s="3">
        <v>344.8</v>
      </c>
      <c r="S8" s="25">
        <f>P8-L8</f>
        <v>285.95</v>
      </c>
      <c r="V8" s="21" t="s">
        <v>6</v>
      </c>
      <c r="W8" s="13">
        <v>60.1</v>
      </c>
      <c r="X8" s="13">
        <v>17.34</v>
      </c>
      <c r="Y8" s="13">
        <v>13.4</v>
      </c>
      <c r="Z8" s="13">
        <v>9.85</v>
      </c>
      <c r="AA8" s="13">
        <v>3.29</v>
      </c>
      <c r="AB8" s="13">
        <v>14.88</v>
      </c>
      <c r="AC8" s="13">
        <v>118.86</v>
      </c>
      <c r="AE8" s="5">
        <f>+AC8-X8</f>
        <v>101.52</v>
      </c>
      <c r="AI8" s="607" t="s">
        <v>195</v>
      </c>
      <c r="AJ8" s="608"/>
      <c r="AK8" s="608"/>
      <c r="AL8" s="608"/>
      <c r="AM8" s="608"/>
      <c r="AN8" s="609"/>
      <c r="AO8" s="607"/>
      <c r="AP8" s="609"/>
    </row>
    <row r="9" spans="7:42" ht="15" customHeight="1" thickBot="1">
      <c r="H9" s="505"/>
      <c r="I9" s="4" t="s">
        <v>22</v>
      </c>
      <c r="J9" s="4" t="s">
        <v>23</v>
      </c>
      <c r="K9" s="4" t="s">
        <v>24</v>
      </c>
      <c r="L9" s="4" t="s">
        <v>25</v>
      </c>
      <c r="M9" s="4" t="s">
        <v>26</v>
      </c>
      <c r="N9" s="4" t="s">
        <v>27</v>
      </c>
      <c r="O9" s="4" t="s">
        <v>28</v>
      </c>
      <c r="P9" s="4" t="s">
        <v>29</v>
      </c>
      <c r="S9" s="25"/>
      <c r="V9" s="22"/>
      <c r="W9" s="14">
        <v>-50.56</v>
      </c>
      <c r="X9" s="14">
        <v>-14.59</v>
      </c>
      <c r="Y9" s="14">
        <v>-11.27</v>
      </c>
      <c r="Z9" s="14">
        <v>-8.2899999999999991</v>
      </c>
      <c r="AA9" s="14">
        <v>-2.77</v>
      </c>
      <c r="AB9" s="14">
        <v>-12.52</v>
      </c>
      <c r="AC9" s="14">
        <v>-100</v>
      </c>
      <c r="AE9" s="5"/>
      <c r="AI9" s="610" t="s">
        <v>196</v>
      </c>
      <c r="AJ9" s="612" t="s">
        <v>12</v>
      </c>
      <c r="AK9" s="612" t="s">
        <v>13</v>
      </c>
      <c r="AL9" s="612" t="s">
        <v>14</v>
      </c>
      <c r="AM9" s="612" t="s">
        <v>15</v>
      </c>
      <c r="AN9" s="612" t="s">
        <v>64</v>
      </c>
      <c r="AO9" s="623" t="s">
        <v>197</v>
      </c>
      <c r="AP9" s="624"/>
    </row>
    <row r="10" spans="7:42" ht="13.9" customHeight="1" thickBot="1">
      <c r="G10">
        <f t="shared" ref="G10:G26" si="0">+S10+AE10</f>
        <v>423.12</v>
      </c>
      <c r="H10" s="504" t="s">
        <v>7</v>
      </c>
      <c r="I10" s="3">
        <v>126.44</v>
      </c>
      <c r="J10" s="3">
        <v>3.85</v>
      </c>
      <c r="K10" s="3">
        <v>10.67</v>
      </c>
      <c r="L10" s="3">
        <v>76.2</v>
      </c>
      <c r="M10" s="3">
        <v>60.65</v>
      </c>
      <c r="N10" s="3">
        <v>3.84</v>
      </c>
      <c r="O10" s="3">
        <v>102.11</v>
      </c>
      <c r="P10" s="3">
        <v>383.76</v>
      </c>
      <c r="S10" s="25">
        <f>P10-L10</f>
        <v>307.56</v>
      </c>
      <c r="V10" s="21" t="s">
        <v>7</v>
      </c>
      <c r="W10" s="13">
        <v>67.77</v>
      </c>
      <c r="X10" s="13">
        <v>21.4</v>
      </c>
      <c r="Y10" s="13">
        <v>14.13</v>
      </c>
      <c r="Z10" s="13">
        <v>13.52</v>
      </c>
      <c r="AA10" s="13">
        <v>3.91</v>
      </c>
      <c r="AB10" s="13">
        <v>16.23</v>
      </c>
      <c r="AC10" s="13">
        <v>136.96</v>
      </c>
      <c r="AE10" s="5">
        <f>+AC10-X10</f>
        <v>115.56</v>
      </c>
      <c r="AI10" s="611"/>
      <c r="AJ10" s="613"/>
      <c r="AK10" s="613"/>
      <c r="AL10" s="613"/>
      <c r="AM10" s="613"/>
      <c r="AN10" s="613"/>
      <c r="AO10" s="110" t="s">
        <v>64</v>
      </c>
      <c r="AP10" s="110" t="s">
        <v>198</v>
      </c>
    </row>
    <row r="11" spans="7:42" ht="15.75" thickBot="1">
      <c r="H11" s="505"/>
      <c r="I11" s="4">
        <v>-3.5</v>
      </c>
      <c r="J11" s="4">
        <v>-34.619999999999997</v>
      </c>
      <c r="K11" s="4">
        <v>-19.350000000000001</v>
      </c>
      <c r="L11" s="4">
        <v>-29.48</v>
      </c>
      <c r="M11" s="4">
        <v>-10.47</v>
      </c>
      <c r="N11" s="4">
        <f>-(43.86)</f>
        <v>-43.86</v>
      </c>
      <c r="O11" s="4">
        <v>-13.14</v>
      </c>
      <c r="P11" s="4">
        <v>-11.3</v>
      </c>
      <c r="S11" s="25"/>
      <c r="V11" s="22"/>
      <c r="W11" s="14">
        <v>-49.48</v>
      </c>
      <c r="X11" s="14">
        <v>-15.63</v>
      </c>
      <c r="Y11" s="14">
        <v>-10.32</v>
      </c>
      <c r="Z11" s="14">
        <v>-9.8699999999999992</v>
      </c>
      <c r="AA11" s="14">
        <v>-2.85</v>
      </c>
      <c r="AB11" s="14">
        <v>-11.85</v>
      </c>
      <c r="AC11" s="14">
        <v>-100</v>
      </c>
      <c r="AE11" s="5"/>
      <c r="AI11" s="625" t="s">
        <v>199</v>
      </c>
      <c r="AJ11" s="626"/>
      <c r="AK11" s="626"/>
      <c r="AL11" s="626"/>
      <c r="AM11" s="626"/>
      <c r="AN11" s="626"/>
      <c r="AO11" s="626"/>
      <c r="AP11" s="627"/>
    </row>
    <row r="12" spans="7:42" ht="15.75" thickBot="1">
      <c r="G12">
        <f t="shared" si="0"/>
        <v>465.63</v>
      </c>
      <c r="H12" s="504" t="s">
        <v>8</v>
      </c>
      <c r="I12" s="3">
        <v>142.09</v>
      </c>
      <c r="J12" s="3">
        <v>6.62</v>
      </c>
      <c r="K12" s="3">
        <v>10.68</v>
      </c>
      <c r="L12" s="3">
        <v>79.22</v>
      </c>
      <c r="M12" s="3">
        <v>68.83</v>
      </c>
      <c r="N12" s="3">
        <v>2.13</v>
      </c>
      <c r="O12" s="3">
        <v>114</v>
      </c>
      <c r="P12" s="3">
        <v>423.57</v>
      </c>
      <c r="S12" s="25">
        <f>P12-L12</f>
        <v>344.35</v>
      </c>
      <c r="V12" s="21" t="s">
        <v>8</v>
      </c>
      <c r="W12" s="13">
        <v>69.72</v>
      </c>
      <c r="X12" s="13">
        <v>28.84</v>
      </c>
      <c r="Y12" s="13">
        <v>13.39</v>
      </c>
      <c r="Z12" s="13">
        <v>13.57</v>
      </c>
      <c r="AA12" s="13">
        <v>5.61</v>
      </c>
      <c r="AB12" s="13">
        <v>18.989999999999998</v>
      </c>
      <c r="AC12" s="13">
        <v>150.12</v>
      </c>
      <c r="AE12" s="5">
        <f>+AC12-X12</f>
        <v>121.28</v>
      </c>
      <c r="AI12" s="111" t="s">
        <v>200</v>
      </c>
      <c r="AJ12" s="112">
        <v>14.2</v>
      </c>
      <c r="AK12" s="112">
        <v>4.2</v>
      </c>
      <c r="AL12" s="112">
        <v>3.2</v>
      </c>
      <c r="AM12" s="112">
        <v>2.2000000000000002</v>
      </c>
      <c r="AN12" s="131">
        <v>4.5</v>
      </c>
      <c r="AO12" s="114">
        <v>6.6</v>
      </c>
      <c r="AP12" s="115">
        <v>7</v>
      </c>
    </row>
    <row r="13" spans="7:42" ht="15.75" thickBot="1">
      <c r="H13" s="505"/>
      <c r="I13" s="4">
        <v>-12.38</v>
      </c>
      <c r="J13" s="4">
        <v>-71.95</v>
      </c>
      <c r="K13" s="4">
        <v>-0.09</v>
      </c>
      <c r="L13" s="4">
        <v>-3.96</v>
      </c>
      <c r="M13" s="4">
        <v>-13.49</v>
      </c>
      <c r="N13" s="4">
        <f>-(44.53)</f>
        <v>-44.53</v>
      </c>
      <c r="O13" s="4">
        <v>-11.64</v>
      </c>
      <c r="P13" s="4">
        <v>-10.37</v>
      </c>
      <c r="S13" s="25"/>
      <c r="V13" s="22"/>
      <c r="W13" s="14">
        <v>-46.44</v>
      </c>
      <c r="X13" s="14">
        <v>-19.21</v>
      </c>
      <c r="Y13" s="14">
        <v>-8.92</v>
      </c>
      <c r="Z13" s="14">
        <v>-9.0399999999999991</v>
      </c>
      <c r="AA13" s="14">
        <v>-3.74</v>
      </c>
      <c r="AB13" s="14">
        <v>-12.65</v>
      </c>
      <c r="AC13" s="14">
        <v>-100</v>
      </c>
      <c r="AE13" s="5"/>
      <c r="AI13" s="116" t="s">
        <v>201</v>
      </c>
      <c r="AJ13" s="112">
        <v>5.7</v>
      </c>
      <c r="AK13" s="112">
        <v>1.6</v>
      </c>
      <c r="AL13" s="112">
        <v>-1.7</v>
      </c>
      <c r="AM13" s="112">
        <v>-2.6</v>
      </c>
      <c r="AN13" s="132">
        <v>1.8</v>
      </c>
      <c r="AO13" s="114">
        <v>2.4</v>
      </c>
      <c r="AP13" s="115">
        <v>4.0999999999999996</v>
      </c>
    </row>
    <row r="14" spans="7:42" ht="15.75" thickBot="1">
      <c r="G14">
        <f t="shared" si="0"/>
        <v>534.15</v>
      </c>
      <c r="H14" s="504" t="s">
        <v>9</v>
      </c>
      <c r="I14" s="3">
        <v>145.88</v>
      </c>
      <c r="J14" s="3">
        <v>7.93</v>
      </c>
      <c r="K14" s="3">
        <v>11.14</v>
      </c>
      <c r="L14" s="3">
        <v>80.58</v>
      </c>
      <c r="M14" s="3">
        <v>64.63</v>
      </c>
      <c r="N14" s="3">
        <v>4.93</v>
      </c>
      <c r="O14" s="3">
        <v>148.69</v>
      </c>
      <c r="P14" s="3">
        <v>463.78</v>
      </c>
      <c r="S14" s="25">
        <f>P14-L14</f>
        <v>383.2</v>
      </c>
      <c r="V14" s="21" t="s">
        <v>9</v>
      </c>
      <c r="W14" s="13">
        <v>81.2</v>
      </c>
      <c r="X14" s="13">
        <v>33.97</v>
      </c>
      <c r="Y14" s="13">
        <v>14.39</v>
      </c>
      <c r="Z14" s="13">
        <v>14.02</v>
      </c>
      <c r="AA14" s="13">
        <v>6.82</v>
      </c>
      <c r="AB14" s="13">
        <v>34.520000000000003</v>
      </c>
      <c r="AC14" s="13">
        <v>184.92</v>
      </c>
      <c r="AE14" s="5">
        <f>+AC14-X14</f>
        <v>150.94999999999999</v>
      </c>
      <c r="AI14" s="130" t="s">
        <v>202</v>
      </c>
      <c r="AJ14" s="112">
        <v>35.5</v>
      </c>
      <c r="AK14" s="112">
        <v>9.1</v>
      </c>
      <c r="AL14" s="112">
        <v>12.2</v>
      </c>
      <c r="AM14" s="112">
        <v>9.6999999999999993</v>
      </c>
      <c r="AN14" s="132">
        <v>8.3000000000000007</v>
      </c>
      <c r="AO14" s="114">
        <v>12.8</v>
      </c>
      <c r="AP14" s="115">
        <v>11.1</v>
      </c>
    </row>
    <row r="15" spans="7:42" ht="15.75" thickBot="1">
      <c r="H15" s="505"/>
      <c r="I15" s="4">
        <v>-2.67</v>
      </c>
      <c r="J15" s="4">
        <v>-19.79</v>
      </c>
      <c r="K15" s="4">
        <v>-4.3099999999999996</v>
      </c>
      <c r="L15" s="4">
        <v>-1.72</v>
      </c>
      <c r="M15" s="4">
        <f>-(6.1)</f>
        <v>-6.1</v>
      </c>
      <c r="N15" s="4">
        <v>-131.46</v>
      </c>
      <c r="O15" s="4">
        <v>-30.43</v>
      </c>
      <c r="P15" s="4">
        <v>-9.49</v>
      </c>
      <c r="S15" s="25"/>
      <c r="V15" s="22"/>
      <c r="W15" s="14">
        <v>-43.91</v>
      </c>
      <c r="X15" s="14">
        <v>-18.37</v>
      </c>
      <c r="Y15" s="14">
        <v>-7.78</v>
      </c>
      <c r="Z15" s="14">
        <v>-7.58</v>
      </c>
      <c r="AA15" s="14">
        <v>-3.69</v>
      </c>
      <c r="AB15" s="14">
        <v>-18.670000000000002</v>
      </c>
      <c r="AC15" s="14">
        <v>-100</v>
      </c>
      <c r="AE15" s="5"/>
      <c r="AI15" s="111" t="s">
        <v>203</v>
      </c>
      <c r="AJ15" s="112">
        <v>8.4</v>
      </c>
      <c r="AK15" s="112">
        <v>9.3000000000000007</v>
      </c>
      <c r="AL15" s="112">
        <v>6.3</v>
      </c>
      <c r="AM15" s="112">
        <v>4.5</v>
      </c>
      <c r="AN15" s="132">
        <v>4.7</v>
      </c>
      <c r="AO15" s="114">
        <v>4.9000000000000004</v>
      </c>
      <c r="AP15" s="115">
        <v>5.5</v>
      </c>
    </row>
    <row r="16" spans="7:42" ht="15" customHeight="1" thickBot="1">
      <c r="G16">
        <f t="shared" si="0"/>
        <v>599.16999999999996</v>
      </c>
      <c r="H16" s="504" t="s">
        <v>10</v>
      </c>
      <c r="I16" s="3">
        <v>167.44</v>
      </c>
      <c r="J16" s="3">
        <v>11.87</v>
      </c>
      <c r="K16" s="3">
        <v>6.41</v>
      </c>
      <c r="L16" s="3">
        <v>92.3</v>
      </c>
      <c r="M16" s="3">
        <v>68.67</v>
      </c>
      <c r="N16" s="3">
        <v>2.99</v>
      </c>
      <c r="O16" s="3">
        <v>169.65</v>
      </c>
      <c r="P16" s="3">
        <v>519.30999999999995</v>
      </c>
      <c r="S16" s="25">
        <f>P16-L16</f>
        <v>427.00999999999993</v>
      </c>
      <c r="V16" s="21" t="s">
        <v>10</v>
      </c>
      <c r="W16" s="13">
        <v>91.04</v>
      </c>
      <c r="X16" s="13">
        <v>34.22</v>
      </c>
      <c r="Y16" s="13">
        <v>16.260000000000002</v>
      </c>
      <c r="Z16" s="13">
        <v>15.45</v>
      </c>
      <c r="AA16" s="13">
        <v>7.11</v>
      </c>
      <c r="AB16" s="13">
        <v>42.3</v>
      </c>
      <c r="AC16" s="13">
        <v>206.38</v>
      </c>
      <c r="AE16" s="5">
        <f>+AC16-X16</f>
        <v>172.16</v>
      </c>
      <c r="AI16" s="116" t="s">
        <v>204</v>
      </c>
      <c r="AJ16" s="112">
        <v>1</v>
      </c>
      <c r="AK16" s="112">
        <v>7.9</v>
      </c>
      <c r="AL16" s="112">
        <v>5.7</v>
      </c>
      <c r="AM16" s="112">
        <v>1.4</v>
      </c>
      <c r="AN16" s="132">
        <v>4.7</v>
      </c>
      <c r="AO16" s="114">
        <v>4.5</v>
      </c>
      <c r="AP16" s="115">
        <v>3.5</v>
      </c>
    </row>
    <row r="17" spans="7:42" ht="15.75" thickBot="1">
      <c r="H17" s="505"/>
      <c r="I17" s="4">
        <v>-14.78</v>
      </c>
      <c r="J17" s="4">
        <v>-49.68</v>
      </c>
      <c r="K17" s="4">
        <f>-(42.46)</f>
        <v>-42.46</v>
      </c>
      <c r="L17" s="4">
        <v>-14.54</v>
      </c>
      <c r="M17" s="4">
        <v>-6.25</v>
      </c>
      <c r="N17" s="4">
        <f>-(39.35)</f>
        <v>-39.35</v>
      </c>
      <c r="O17" s="4">
        <v>-14.1</v>
      </c>
      <c r="P17" s="4">
        <v>-11.97</v>
      </c>
      <c r="S17" s="25"/>
      <c r="V17" s="22"/>
      <c r="W17" s="14">
        <v>-44.11</v>
      </c>
      <c r="X17" s="14">
        <v>-16.579999999999998</v>
      </c>
      <c r="Y17" s="14">
        <v>-7.88</v>
      </c>
      <c r="Z17" s="14">
        <v>-7.49</v>
      </c>
      <c r="AA17" s="14">
        <v>-3.45</v>
      </c>
      <c r="AB17" s="14">
        <v>-20.5</v>
      </c>
      <c r="AC17" s="14">
        <v>-100</v>
      </c>
      <c r="AE17" s="5"/>
      <c r="AI17" s="116" t="s">
        <v>205</v>
      </c>
      <c r="AJ17" s="112">
        <v>8.4</v>
      </c>
      <c r="AK17" s="112">
        <v>9.1999999999999993</v>
      </c>
      <c r="AL17" s="112">
        <v>6.2</v>
      </c>
      <c r="AM17" s="112">
        <v>1</v>
      </c>
      <c r="AN17" s="132">
        <v>0.4</v>
      </c>
      <c r="AO17" s="114">
        <v>1.1000000000000001</v>
      </c>
      <c r="AP17" s="115">
        <v>3.2</v>
      </c>
    </row>
    <row r="18" spans="7:42" ht="15.75" thickBot="1">
      <c r="G18">
        <f t="shared" si="0"/>
        <v>615.49</v>
      </c>
      <c r="H18" s="504" t="s">
        <v>11</v>
      </c>
      <c r="I18" s="3">
        <v>174.2</v>
      </c>
      <c r="J18" s="3">
        <v>12.17</v>
      </c>
      <c r="K18" s="3">
        <v>6.11</v>
      </c>
      <c r="L18" s="3">
        <v>92.67</v>
      </c>
      <c r="M18" s="3">
        <v>76.930000000000007</v>
      </c>
      <c r="N18" s="3">
        <v>2.4</v>
      </c>
      <c r="O18" s="3">
        <v>166.33</v>
      </c>
      <c r="P18" s="3">
        <v>530.79999999999995</v>
      </c>
      <c r="S18" s="25">
        <f>P18-L18</f>
        <v>438.12999999999994</v>
      </c>
      <c r="V18" s="21" t="s">
        <v>11</v>
      </c>
      <c r="W18" s="13">
        <v>97.82</v>
      </c>
      <c r="X18" s="13">
        <v>35.86</v>
      </c>
      <c r="Y18" s="13">
        <v>13.26</v>
      </c>
      <c r="Z18" s="13">
        <v>21.46</v>
      </c>
      <c r="AA18" s="13">
        <v>8.85</v>
      </c>
      <c r="AB18" s="13">
        <v>35.97</v>
      </c>
      <c r="AC18" s="13">
        <v>213.22</v>
      </c>
      <c r="AE18" s="5">
        <f>+AC18-X18</f>
        <v>177.36</v>
      </c>
      <c r="AI18" s="116" t="s">
        <v>206</v>
      </c>
      <c r="AJ18" s="112">
        <v>10.5</v>
      </c>
      <c r="AK18" s="112">
        <v>9.8000000000000007</v>
      </c>
      <c r="AL18" s="112">
        <v>6.5</v>
      </c>
      <c r="AM18" s="112">
        <v>7</v>
      </c>
      <c r="AN18" s="132">
        <v>6.8</v>
      </c>
      <c r="AO18" s="114">
        <v>6.8</v>
      </c>
      <c r="AP18" s="115">
        <v>6.9</v>
      </c>
    </row>
    <row r="19" spans="7:42" ht="15.75" thickBot="1">
      <c r="H19" s="505"/>
      <c r="I19" s="4">
        <v>-4.04</v>
      </c>
      <c r="J19" s="4">
        <v>-2.5299999999999998</v>
      </c>
      <c r="K19" s="4">
        <f>-(4.68)</f>
        <v>-4.68</v>
      </c>
      <c r="L19" s="4">
        <v>-0.4</v>
      </c>
      <c r="M19" s="4">
        <v>-12.03</v>
      </c>
      <c r="N19" s="4">
        <f>-(19.73)</f>
        <v>-19.73</v>
      </c>
      <c r="O19" s="4">
        <f>-(1.96)</f>
        <v>-1.96</v>
      </c>
      <c r="P19" s="4">
        <v>-2.21</v>
      </c>
      <c r="S19" s="25"/>
      <c r="V19" s="22"/>
      <c r="W19" s="14">
        <v>-45.88</v>
      </c>
      <c r="X19" s="14">
        <v>-16.82</v>
      </c>
      <c r="Y19" s="14">
        <v>-6.22</v>
      </c>
      <c r="Z19" s="14">
        <v>-10.06</v>
      </c>
      <c r="AA19" s="14">
        <v>-4.1500000000000004</v>
      </c>
      <c r="AB19" s="14">
        <v>-16.87</v>
      </c>
      <c r="AC19" s="14">
        <v>-100</v>
      </c>
      <c r="AE19" s="5"/>
      <c r="AI19" s="111" t="s">
        <v>207</v>
      </c>
      <c r="AJ19" s="117"/>
      <c r="AK19" s="117"/>
      <c r="AL19" s="117"/>
      <c r="AM19" s="117"/>
      <c r="AN19" s="133"/>
      <c r="AO19" s="119"/>
      <c r="AP19" s="120"/>
    </row>
    <row r="20" spans="7:42" ht="15.75" thickBot="1">
      <c r="G20">
        <f t="shared" si="0"/>
        <v>700.33</v>
      </c>
      <c r="H20" s="504" t="s">
        <v>12</v>
      </c>
      <c r="I20" s="3">
        <v>174.86</v>
      </c>
      <c r="J20" s="3">
        <v>10.94</v>
      </c>
      <c r="K20" s="3">
        <v>6.79</v>
      </c>
      <c r="L20" s="3">
        <v>100.89</v>
      </c>
      <c r="M20" s="3">
        <v>71.790000000000006</v>
      </c>
      <c r="N20" s="3">
        <v>1.2</v>
      </c>
      <c r="O20" s="3">
        <v>194.62</v>
      </c>
      <c r="P20" s="3">
        <v>561.09</v>
      </c>
      <c r="S20" s="25">
        <f>P20-L20</f>
        <v>460.20000000000005</v>
      </c>
      <c r="V20" s="21" t="s">
        <v>12</v>
      </c>
      <c r="W20" s="13">
        <v>137.72</v>
      </c>
      <c r="X20" s="13">
        <v>48.81</v>
      </c>
      <c r="Y20" s="13">
        <v>13.14</v>
      </c>
      <c r="Z20" s="13">
        <v>41.28</v>
      </c>
      <c r="AA20" s="13">
        <v>9.5</v>
      </c>
      <c r="AB20" s="13">
        <v>38.49</v>
      </c>
      <c r="AC20" s="13">
        <v>288.94</v>
      </c>
      <c r="AE20" s="5">
        <f>+AC20-X20</f>
        <v>240.13</v>
      </c>
      <c r="AI20" s="121" t="s">
        <v>208</v>
      </c>
      <c r="AJ20" s="122">
        <v>-3.5</v>
      </c>
      <c r="AK20" s="122">
        <v>40.5</v>
      </c>
      <c r="AL20" s="122">
        <v>21.8</v>
      </c>
      <c r="AM20" s="122">
        <v>-1.8</v>
      </c>
      <c r="AN20" s="132" t="s">
        <v>209</v>
      </c>
      <c r="AO20" s="114">
        <v>5.14</v>
      </c>
      <c r="AP20" s="115">
        <v>6.47</v>
      </c>
    </row>
    <row r="21" spans="7:42" ht="15.75" thickBot="1">
      <c r="H21" s="505"/>
      <c r="I21" s="4">
        <v>-0.38</v>
      </c>
      <c r="J21" s="4">
        <f>-(10.11)</f>
        <v>-10.11</v>
      </c>
      <c r="K21" s="4">
        <v>-11.13</v>
      </c>
      <c r="L21" s="4">
        <v>-8.8699999999999992</v>
      </c>
      <c r="M21" s="4">
        <f>-(6.68)</f>
        <v>-6.68</v>
      </c>
      <c r="N21" s="4">
        <f>-(50)</f>
        <v>-50</v>
      </c>
      <c r="O21" s="4">
        <v>-17.010000000000002</v>
      </c>
      <c r="P21" s="4">
        <v>-5.71</v>
      </c>
      <c r="S21" s="25"/>
      <c r="V21" s="22"/>
      <c r="W21" s="14">
        <v>-47.66</v>
      </c>
      <c r="X21" s="14">
        <v>-16.89</v>
      </c>
      <c r="Y21" s="14">
        <v>-4.55</v>
      </c>
      <c r="Z21" s="14">
        <v>-14.29</v>
      </c>
      <c r="AA21" s="14">
        <v>-3.29</v>
      </c>
      <c r="AB21" s="14">
        <v>-13.32</v>
      </c>
      <c r="AC21" s="14">
        <v>-100</v>
      </c>
      <c r="AE21" s="5"/>
      <c r="AI21" s="124" t="s">
        <v>210</v>
      </c>
      <c r="AJ21" s="125">
        <v>-5</v>
      </c>
      <c r="AK21" s="125">
        <v>28.2</v>
      </c>
      <c r="AL21" s="125">
        <v>32.299999999999997</v>
      </c>
      <c r="AM21" s="125">
        <v>0.3</v>
      </c>
      <c r="AN21" s="125" t="s">
        <v>211</v>
      </c>
      <c r="AO21" s="115" t="s">
        <v>212</v>
      </c>
      <c r="AP21" s="115">
        <v>1.57</v>
      </c>
    </row>
    <row r="22" spans="7:42" ht="15.75" thickBot="1">
      <c r="G22">
        <f t="shared" si="0"/>
        <v>759.49</v>
      </c>
      <c r="H22" s="504" t="s">
        <v>13</v>
      </c>
      <c r="I22" s="3">
        <v>179.88</v>
      </c>
      <c r="J22" s="3">
        <v>12.37</v>
      </c>
      <c r="K22" s="3">
        <v>8.43</v>
      </c>
      <c r="L22" s="3">
        <v>87.69</v>
      </c>
      <c r="M22" s="3">
        <v>75.150000000000006</v>
      </c>
      <c r="N22" s="3">
        <v>1.92</v>
      </c>
      <c r="O22" s="3">
        <v>204.65</v>
      </c>
      <c r="P22" s="3">
        <v>570.09</v>
      </c>
      <c r="S22" s="25">
        <f>P22-L22</f>
        <v>482.40000000000003</v>
      </c>
      <c r="V22" s="21" t="s">
        <v>13</v>
      </c>
      <c r="W22" s="13">
        <v>145.38</v>
      </c>
      <c r="X22" s="13">
        <v>38.270000000000003</v>
      </c>
      <c r="Y22" s="13">
        <v>12.33</v>
      </c>
      <c r="Z22" s="13">
        <v>58.46</v>
      </c>
      <c r="AA22" s="13">
        <v>12.72</v>
      </c>
      <c r="AB22" s="13">
        <v>48.2</v>
      </c>
      <c r="AC22" s="13">
        <v>315.36</v>
      </c>
      <c r="AE22" s="5">
        <f>+AC22-X22</f>
        <v>277.09000000000003</v>
      </c>
      <c r="AI22" s="614" t="s">
        <v>213</v>
      </c>
      <c r="AJ22" s="615"/>
      <c r="AK22" s="615"/>
      <c r="AL22" s="615"/>
      <c r="AM22" s="615"/>
      <c r="AN22" s="615"/>
      <c r="AO22" s="615"/>
      <c r="AP22" s="628"/>
    </row>
    <row r="23" spans="7:42" ht="15.75" thickBot="1">
      <c r="H23" s="505"/>
      <c r="I23" s="4">
        <v>-2.87</v>
      </c>
      <c r="J23" s="4">
        <v>-13.07</v>
      </c>
      <c r="K23" s="4">
        <v>-24.15</v>
      </c>
      <c r="L23" s="4">
        <f>-(13.08)</f>
        <v>-13.08</v>
      </c>
      <c r="M23" s="4">
        <v>-4.68</v>
      </c>
      <c r="N23" s="4">
        <v>-60</v>
      </c>
      <c r="O23" s="4">
        <v>-5.15</v>
      </c>
      <c r="P23" s="4">
        <v>-1.6</v>
      </c>
      <c r="S23" s="25"/>
      <c r="V23" s="22"/>
      <c r="W23" s="14">
        <v>-46.1</v>
      </c>
      <c r="X23" s="14">
        <v>-12.14</v>
      </c>
      <c r="Y23" s="14">
        <v>-3.91</v>
      </c>
      <c r="Z23" s="14">
        <v>-18.54</v>
      </c>
      <c r="AA23" s="14">
        <v>-4.03</v>
      </c>
      <c r="AB23" s="14">
        <v>-15.28</v>
      </c>
      <c r="AC23" s="14">
        <v>-100</v>
      </c>
      <c r="AE23" s="5"/>
      <c r="AI23" s="111" t="s">
        <v>214</v>
      </c>
      <c r="AJ23" s="112">
        <v>0</v>
      </c>
      <c r="AK23" s="112">
        <v>5.4</v>
      </c>
      <c r="AL23" s="112">
        <v>4.0999999999999996</v>
      </c>
      <c r="AM23" s="112">
        <v>3.4</v>
      </c>
      <c r="AN23" s="112">
        <v>3.3</v>
      </c>
      <c r="AO23" s="115" t="s">
        <v>215</v>
      </c>
      <c r="AP23" s="115" t="s">
        <v>216</v>
      </c>
    </row>
    <row r="24" spans="7:42" ht="19.149999999999999" customHeight="1" thickBot="1">
      <c r="G24">
        <f t="shared" si="0"/>
        <v>822.59</v>
      </c>
      <c r="H24" s="504" t="s">
        <v>14</v>
      </c>
      <c r="I24" s="3">
        <v>173.85</v>
      </c>
      <c r="J24" s="3">
        <v>12.22</v>
      </c>
      <c r="K24" s="3">
        <v>8.18</v>
      </c>
      <c r="L24" s="3">
        <v>60.72</v>
      </c>
      <c r="M24" s="3">
        <v>78.78</v>
      </c>
      <c r="N24" s="3">
        <v>3.28</v>
      </c>
      <c r="O24" s="3">
        <v>223.16</v>
      </c>
      <c r="P24" s="3">
        <v>560.19000000000005</v>
      </c>
      <c r="S24" s="25">
        <f>P24-L24</f>
        <v>499.47</v>
      </c>
      <c r="V24" s="21" t="s">
        <v>14</v>
      </c>
      <c r="W24" s="13">
        <v>156.32</v>
      </c>
      <c r="X24" s="13">
        <v>30.62</v>
      </c>
      <c r="Y24" s="13">
        <v>12.87</v>
      </c>
      <c r="Z24" s="13">
        <v>79.040000000000006</v>
      </c>
      <c r="AA24" s="13">
        <v>15.74</v>
      </c>
      <c r="AB24" s="13">
        <v>59.16</v>
      </c>
      <c r="AC24" s="13">
        <v>353.74</v>
      </c>
      <c r="AE24" s="5">
        <f>+AC24-X24</f>
        <v>323.12</v>
      </c>
      <c r="AI24" s="130" t="s">
        <v>217</v>
      </c>
      <c r="AJ24" s="112">
        <v>-3.4</v>
      </c>
      <c r="AK24" s="112">
        <v>3.1</v>
      </c>
      <c r="AL24" s="112">
        <v>1.7</v>
      </c>
      <c r="AM24" s="112">
        <v>1.2</v>
      </c>
      <c r="AN24" s="112">
        <v>1.4</v>
      </c>
      <c r="AO24" s="115" t="s">
        <v>218</v>
      </c>
      <c r="AP24" s="115" t="s">
        <v>219</v>
      </c>
    </row>
    <row r="25" spans="7:42" ht="16.899999999999999" customHeight="1" thickBot="1">
      <c r="H25" s="505"/>
      <c r="I25" s="4">
        <f>-(3.35)</f>
        <v>-3.35</v>
      </c>
      <c r="J25" s="4">
        <f>-(1.21)</f>
        <v>-1.21</v>
      </c>
      <c r="K25" s="4">
        <f>-(2.97)</f>
        <v>-2.97</v>
      </c>
      <c r="L25" s="4">
        <f>-(30.76)</f>
        <v>-30.76</v>
      </c>
      <c r="M25" s="4">
        <v>-4.83</v>
      </c>
      <c r="N25" s="4">
        <v>-70.83</v>
      </c>
      <c r="O25" s="4">
        <v>-9.0399999999999991</v>
      </c>
      <c r="P25" s="4">
        <f>-(1.74)</f>
        <v>-1.74</v>
      </c>
      <c r="S25" s="25"/>
      <c r="V25" s="22"/>
      <c r="W25" s="14">
        <v>-44.19</v>
      </c>
      <c r="X25" s="14">
        <v>-8.66</v>
      </c>
      <c r="Y25" s="14">
        <v>-3.64</v>
      </c>
      <c r="Z25" s="14">
        <v>-22.34</v>
      </c>
      <c r="AA25" s="14">
        <v>-4.45</v>
      </c>
      <c r="AB25" s="14">
        <v>-16.72</v>
      </c>
      <c r="AC25" s="14">
        <v>-100</v>
      </c>
      <c r="AE25" s="5"/>
      <c r="AI25" s="130" t="s">
        <v>220</v>
      </c>
      <c r="AJ25" s="112">
        <v>3.1</v>
      </c>
      <c r="AK25" s="112">
        <v>7.5</v>
      </c>
      <c r="AL25" s="112">
        <v>6.2</v>
      </c>
      <c r="AM25" s="112">
        <v>5.0999999999999996</v>
      </c>
      <c r="AN25" s="112">
        <v>4.7</v>
      </c>
      <c r="AO25" s="115" t="s">
        <v>221</v>
      </c>
      <c r="AP25" s="115" t="s">
        <v>222</v>
      </c>
    </row>
    <row r="26" spans="7:42" ht="16.899999999999999" customHeight="1" thickBot="1">
      <c r="G26">
        <f t="shared" si="0"/>
        <v>884.60000000000014</v>
      </c>
      <c r="H26" s="504" t="s">
        <v>15</v>
      </c>
      <c r="I26" s="3">
        <v>180.73</v>
      </c>
      <c r="J26" s="3">
        <v>7.47</v>
      </c>
      <c r="K26" s="3">
        <v>7.33</v>
      </c>
      <c r="L26" s="3">
        <v>27.29</v>
      </c>
      <c r="M26" s="3">
        <v>86.8</v>
      </c>
      <c r="N26" s="3">
        <v>6.6</v>
      </c>
      <c r="O26" s="3">
        <v>229.61</v>
      </c>
      <c r="P26" s="3">
        <v>545.83000000000004</v>
      </c>
      <c r="S26" s="25">
        <f>P26-L26</f>
        <v>518.54000000000008</v>
      </c>
      <c r="V26" s="495" t="s">
        <v>15</v>
      </c>
      <c r="W26" s="13">
        <v>168.57</v>
      </c>
      <c r="X26" s="13">
        <v>21.86</v>
      </c>
      <c r="Y26" s="13">
        <v>11.95</v>
      </c>
      <c r="Z26" s="13">
        <v>109.26</v>
      </c>
      <c r="AA26" s="13">
        <v>12.55</v>
      </c>
      <c r="AB26" s="13">
        <v>63.74</v>
      </c>
      <c r="AC26" s="13">
        <v>387.92</v>
      </c>
      <c r="AE26" s="5">
        <f>+AC26-X26</f>
        <v>366.06</v>
      </c>
      <c r="AI26" s="134" t="s">
        <v>223</v>
      </c>
      <c r="AJ26" s="112">
        <v>-2.2000000000000002</v>
      </c>
      <c r="AK26" s="112">
        <v>4.0999999999999996</v>
      </c>
      <c r="AL26" s="112">
        <v>2.8</v>
      </c>
      <c r="AM26" s="112">
        <v>2.2999999999999998</v>
      </c>
      <c r="AN26" s="112">
        <v>2.2999999999999998</v>
      </c>
      <c r="AO26" s="115" t="s">
        <v>224</v>
      </c>
      <c r="AP26" s="120"/>
    </row>
    <row r="27" spans="7:42" ht="16.149999999999999" customHeight="1" thickBot="1">
      <c r="H27" s="505"/>
      <c r="I27" s="3">
        <v>-3.96</v>
      </c>
      <c r="J27" s="3">
        <f>-(38.87)</f>
        <v>-38.869999999999997</v>
      </c>
      <c r="K27" s="3">
        <f>-(10.39)</f>
        <v>-10.39</v>
      </c>
      <c r="L27" s="3">
        <f>-(55.06)</f>
        <v>-55.06</v>
      </c>
      <c r="M27" s="3">
        <v>-10.18</v>
      </c>
      <c r="N27" s="3">
        <v>-101.22</v>
      </c>
      <c r="O27" s="3">
        <v>-2.89</v>
      </c>
      <c r="P27" s="3">
        <f>-(2.56)</f>
        <v>-2.56</v>
      </c>
      <c r="S27" s="25"/>
      <c r="V27" s="496"/>
      <c r="W27" s="14">
        <v>-43.45</v>
      </c>
      <c r="X27" s="14">
        <v>-5.63</v>
      </c>
      <c r="Y27" s="14">
        <v>-3.08</v>
      </c>
      <c r="Z27" s="14">
        <v>-28.17</v>
      </c>
      <c r="AA27" s="14">
        <v>-3.23</v>
      </c>
      <c r="AB27" s="14">
        <v>-16.43</v>
      </c>
      <c r="AC27" s="14">
        <v>-100</v>
      </c>
      <c r="AE27" s="5"/>
      <c r="AI27" s="130" t="s">
        <v>217</v>
      </c>
      <c r="AJ27" s="112">
        <v>-3.8</v>
      </c>
      <c r="AK27" s="112">
        <v>2.6</v>
      </c>
      <c r="AL27" s="112">
        <v>1.4</v>
      </c>
      <c r="AM27" s="112">
        <v>1.1000000000000001</v>
      </c>
      <c r="AN27" s="112">
        <v>1.3</v>
      </c>
      <c r="AO27" s="115" t="s">
        <v>218</v>
      </c>
      <c r="AP27" s="120"/>
    </row>
    <row r="28" spans="7:42" ht="16.149999999999999" customHeight="1" thickBot="1">
      <c r="H28" s="509" t="s">
        <v>64</v>
      </c>
      <c r="I28" s="40"/>
      <c r="J28" s="40"/>
      <c r="K28" s="40"/>
      <c r="L28" s="40"/>
      <c r="M28" s="40"/>
      <c r="N28" s="40"/>
      <c r="O28" s="40"/>
      <c r="P28" s="40"/>
      <c r="S28" s="25"/>
      <c r="V28" s="188"/>
      <c r="W28" s="213"/>
      <c r="X28" s="213"/>
      <c r="Y28" s="213"/>
      <c r="Z28" s="213"/>
      <c r="AA28" s="213"/>
      <c r="AB28" s="213"/>
      <c r="AC28" s="14"/>
      <c r="AE28" s="5"/>
      <c r="AI28" s="130"/>
      <c r="AJ28" s="112"/>
      <c r="AK28" s="112"/>
      <c r="AL28" s="112"/>
      <c r="AM28" s="112"/>
      <c r="AN28" s="112"/>
      <c r="AO28" s="115"/>
      <c r="AP28" s="120"/>
    </row>
    <row r="29" spans="7:42" ht="16.149999999999999" customHeight="1" thickBot="1">
      <c r="H29" s="510"/>
      <c r="I29" s="1"/>
      <c r="J29" s="1"/>
      <c r="K29" s="1"/>
      <c r="L29" s="1"/>
      <c r="M29" s="1"/>
      <c r="N29" s="1"/>
      <c r="O29" s="1"/>
      <c r="P29" s="1"/>
      <c r="S29" s="25"/>
      <c r="V29" s="188"/>
      <c r="W29" s="213"/>
      <c r="X29" s="213"/>
      <c r="Y29" s="213"/>
      <c r="Z29" s="213"/>
      <c r="AA29" s="213"/>
      <c r="AB29" s="213"/>
      <c r="AC29" s="14"/>
      <c r="AE29" s="5"/>
      <c r="AI29" s="130"/>
      <c r="AJ29" s="112"/>
      <c r="AK29" s="112"/>
      <c r="AL29" s="112"/>
      <c r="AM29" s="112"/>
      <c r="AN29" s="112"/>
      <c r="AO29" s="115"/>
      <c r="AP29" s="120"/>
    </row>
    <row r="30" spans="7:42" ht="16.149999999999999" customHeight="1" thickBot="1">
      <c r="H30" s="509" t="s">
        <v>198</v>
      </c>
      <c r="I30" s="40"/>
      <c r="J30" s="40"/>
      <c r="K30" s="40"/>
      <c r="L30" s="40"/>
      <c r="M30" s="40"/>
      <c r="N30" s="40"/>
      <c r="O30" s="40"/>
      <c r="P30" s="40"/>
      <c r="S30" s="25"/>
      <c r="V30" s="188"/>
      <c r="W30" s="213"/>
      <c r="X30" s="213"/>
      <c r="Y30" s="213"/>
      <c r="Z30" s="213"/>
      <c r="AA30" s="213"/>
      <c r="AB30" s="213"/>
      <c r="AC30" s="14"/>
      <c r="AE30" s="5"/>
      <c r="AI30" s="130"/>
      <c r="AJ30" s="112"/>
      <c r="AK30" s="112"/>
      <c r="AL30" s="112"/>
      <c r="AM30" s="112"/>
      <c r="AN30" s="112"/>
      <c r="AO30" s="115"/>
      <c r="AP30" s="120"/>
    </row>
    <row r="31" spans="7:42" ht="16.149999999999999" customHeight="1" thickBot="1">
      <c r="H31" s="511"/>
      <c r="I31" s="1"/>
      <c r="J31" s="1"/>
      <c r="K31" s="1"/>
      <c r="L31" s="1"/>
      <c r="M31" s="1"/>
      <c r="N31" s="1"/>
      <c r="O31" s="1"/>
      <c r="P31" s="1"/>
      <c r="S31" s="25"/>
      <c r="V31" s="188"/>
      <c r="W31" s="213"/>
      <c r="X31" s="213"/>
      <c r="Y31" s="213"/>
      <c r="Z31" s="213"/>
      <c r="AA31" s="213"/>
      <c r="AB31" s="213"/>
      <c r="AC31" s="14"/>
      <c r="AE31" s="5"/>
      <c r="AI31" s="130"/>
      <c r="AJ31" s="112"/>
      <c r="AK31" s="112"/>
      <c r="AL31" s="112"/>
      <c r="AM31" s="112"/>
      <c r="AN31" s="112"/>
      <c r="AO31" s="115"/>
      <c r="AP31" s="120"/>
    </row>
    <row r="32" spans="7:42" ht="19.899999999999999" customHeight="1" thickBot="1">
      <c r="H32" s="512" t="s">
        <v>30</v>
      </c>
      <c r="I32" s="513"/>
      <c r="J32" s="513"/>
      <c r="K32" s="513"/>
      <c r="L32" s="513"/>
      <c r="M32" s="513"/>
      <c r="N32" s="513"/>
      <c r="O32" s="513"/>
      <c r="P32" s="514"/>
      <c r="Q32" s="205"/>
      <c r="R32" s="205"/>
      <c r="S32" s="25"/>
      <c r="V32" s="497" t="s">
        <v>37</v>
      </c>
      <c r="W32" s="498"/>
      <c r="X32" s="498"/>
      <c r="Y32" s="498"/>
      <c r="Z32" s="498"/>
      <c r="AA32" s="498"/>
      <c r="AB32" s="498"/>
      <c r="AC32" s="499"/>
      <c r="AE32" s="5"/>
      <c r="AI32" s="130" t="s">
        <v>220</v>
      </c>
      <c r="AJ32" s="112">
        <v>2.4</v>
      </c>
      <c r="AK32" s="112">
        <v>7.9</v>
      </c>
      <c r="AL32" s="112">
        <v>6</v>
      </c>
      <c r="AM32" s="112">
        <v>4.7</v>
      </c>
      <c r="AN32" s="112">
        <v>4.5999999999999996</v>
      </c>
      <c r="AO32" s="115" t="s">
        <v>225</v>
      </c>
      <c r="AP32" s="120"/>
    </row>
    <row r="33" spans="2:42" ht="17.45" customHeight="1" thickBot="1">
      <c r="AE33" s="5"/>
      <c r="AI33" s="130" t="s">
        <v>226</v>
      </c>
      <c r="AJ33" s="112">
        <v>-6.6</v>
      </c>
      <c r="AK33" s="112">
        <v>4.5</v>
      </c>
      <c r="AL33" s="112">
        <v>4.7</v>
      </c>
      <c r="AM33" s="112">
        <v>3.3</v>
      </c>
      <c r="AN33" s="112">
        <v>2</v>
      </c>
      <c r="AO33" s="115" t="s">
        <v>227</v>
      </c>
      <c r="AP33" s="120"/>
    </row>
    <row r="34" spans="2:42" ht="15.75" thickBot="1">
      <c r="AE34" s="5"/>
      <c r="AI34" s="134" t="s">
        <v>228</v>
      </c>
      <c r="AJ34" s="112">
        <v>-11.9</v>
      </c>
      <c r="AK34" s="112">
        <v>14</v>
      </c>
      <c r="AL34" s="112">
        <v>6.8</v>
      </c>
      <c r="AM34" s="112">
        <v>2.7</v>
      </c>
      <c r="AN34" s="112">
        <v>2.7</v>
      </c>
      <c r="AO34" s="127" t="s">
        <v>229</v>
      </c>
      <c r="AP34" s="115" t="s">
        <v>230</v>
      </c>
    </row>
    <row r="35" spans="2:42" ht="15.75" thickBot="1">
      <c r="AE35" s="5"/>
      <c r="AI35" s="134" t="s">
        <v>231</v>
      </c>
      <c r="AJ35" s="117"/>
      <c r="AK35" s="117"/>
      <c r="AL35" s="117"/>
      <c r="AM35" s="117"/>
      <c r="AN35" s="117"/>
      <c r="AO35" s="115"/>
      <c r="AP35" s="120"/>
    </row>
    <row r="36" spans="2:42" ht="18" customHeight="1" thickBot="1">
      <c r="AE36" s="5"/>
      <c r="AI36" s="130" t="s">
        <v>217</v>
      </c>
      <c r="AJ36" s="112">
        <v>-13.5</v>
      </c>
      <c r="AK36" s="112">
        <v>14.5</v>
      </c>
      <c r="AL36" s="112">
        <v>6</v>
      </c>
      <c r="AM36" s="112">
        <v>1.7</v>
      </c>
      <c r="AN36" s="112">
        <v>1.9</v>
      </c>
      <c r="AO36" s="115" t="s">
        <v>232</v>
      </c>
      <c r="AP36" s="115" t="s">
        <v>233</v>
      </c>
    </row>
    <row r="37" spans="2:42" ht="15.6" customHeight="1" thickBot="1">
      <c r="AI37" s="130" t="s">
        <v>220</v>
      </c>
      <c r="AJ37" s="112">
        <v>-7.8</v>
      </c>
      <c r="AK37" s="112">
        <v>13.5</v>
      </c>
      <c r="AL37" s="112">
        <v>7.3</v>
      </c>
      <c r="AM37" s="112">
        <v>5.0999999999999996</v>
      </c>
      <c r="AN37" s="112">
        <v>4.3</v>
      </c>
      <c r="AO37" s="115">
        <v>4</v>
      </c>
      <c r="AP37" s="115">
        <v>5.7</v>
      </c>
    </row>
    <row r="38" spans="2:42" ht="18.600000000000001" customHeight="1" thickBot="1">
      <c r="AI38" s="134" t="s">
        <v>234</v>
      </c>
      <c r="AJ38" s="117"/>
      <c r="AK38" s="117"/>
      <c r="AL38" s="117"/>
      <c r="AM38" s="117"/>
      <c r="AN38" s="117"/>
      <c r="AO38" s="115"/>
      <c r="AP38" s="120"/>
    </row>
    <row r="39" spans="2:42" ht="16.899999999999999" customHeight="1" thickBot="1">
      <c r="AI39" s="130" t="s">
        <v>217</v>
      </c>
      <c r="AJ39" s="112">
        <v>-13.7</v>
      </c>
      <c r="AK39" s="112">
        <v>13.5</v>
      </c>
      <c r="AL39" s="112">
        <v>5.2</v>
      </c>
      <c r="AM39" s="112">
        <v>0.5</v>
      </c>
      <c r="AN39" s="112">
        <v>1.3</v>
      </c>
      <c r="AO39" s="115" t="s">
        <v>235</v>
      </c>
      <c r="AP39" s="115" t="s">
        <v>236</v>
      </c>
    </row>
    <row r="40" spans="2:42" ht="18" customHeight="1" thickBot="1">
      <c r="AI40" s="130" t="s">
        <v>220</v>
      </c>
      <c r="AJ40" s="112">
        <v>-9.5</v>
      </c>
      <c r="AK40" s="112">
        <v>14.8</v>
      </c>
      <c r="AL40" s="112">
        <v>10.5</v>
      </c>
      <c r="AM40" s="112">
        <v>6</v>
      </c>
      <c r="AN40" s="112">
        <v>4.8</v>
      </c>
      <c r="AO40" s="115" t="s">
        <v>237</v>
      </c>
      <c r="AP40" s="115" t="s">
        <v>238</v>
      </c>
    </row>
    <row r="41" spans="2:42" ht="18" customHeight="1" thickBot="1">
      <c r="AI41" s="134" t="s">
        <v>239</v>
      </c>
      <c r="AJ41" s="112">
        <v>-5</v>
      </c>
      <c r="AK41" s="112">
        <v>7.4</v>
      </c>
      <c r="AL41" s="112">
        <v>4.3</v>
      </c>
      <c r="AM41" s="112">
        <v>4.5999999999999996</v>
      </c>
      <c r="AN41" s="112">
        <v>3.6</v>
      </c>
      <c r="AO41" s="115" t="s">
        <v>240</v>
      </c>
      <c r="AP41" s="120"/>
    </row>
    <row r="42" spans="2:42" ht="15" customHeight="1" thickBot="1">
      <c r="AI42" s="130" t="s">
        <v>241</v>
      </c>
      <c r="AJ42" s="112">
        <v>-4.5</v>
      </c>
      <c r="AK42" s="112">
        <v>7</v>
      </c>
      <c r="AL42" s="112">
        <v>4.5</v>
      </c>
      <c r="AM42" s="112">
        <v>4.7</v>
      </c>
      <c r="AN42" s="112">
        <v>3.8</v>
      </c>
      <c r="AO42" s="115" t="s">
        <v>240</v>
      </c>
      <c r="AP42" s="120"/>
    </row>
    <row r="43" spans="2:42" ht="34.15" customHeight="1" thickBot="1">
      <c r="B43" s="517" t="s">
        <v>290</v>
      </c>
      <c r="C43" s="518"/>
      <c r="D43" s="518"/>
      <c r="E43" s="519"/>
      <c r="I43" s="143" t="s">
        <v>250</v>
      </c>
      <c r="J43" s="155">
        <f>+G43/$K$179*100</f>
        <v>0</v>
      </c>
      <c r="K43" s="143" t="s">
        <v>250</v>
      </c>
      <c r="L43" s="155">
        <f>+H43/$L$179*100</f>
        <v>0</v>
      </c>
      <c r="M43" s="137"/>
      <c r="AI43" s="130" t="s">
        <v>242</v>
      </c>
      <c r="AJ43" s="112">
        <v>-5.5</v>
      </c>
      <c r="AK43" s="112">
        <v>7.8</v>
      </c>
      <c r="AL43" s="112">
        <v>4.2</v>
      </c>
      <c r="AM43" s="112">
        <v>4.4000000000000004</v>
      </c>
      <c r="AN43" s="112">
        <v>3.4</v>
      </c>
      <c r="AO43" s="115" t="s">
        <v>240</v>
      </c>
      <c r="AP43" s="120"/>
    </row>
    <row r="44" spans="2:42" ht="15" customHeight="1" thickBot="1">
      <c r="B44" s="520" t="s">
        <v>43</v>
      </c>
      <c r="C44" s="521"/>
      <c r="D44" s="521"/>
      <c r="E44" s="522"/>
      <c r="I44" s="143" t="s">
        <v>251</v>
      </c>
      <c r="J44" s="155">
        <f t="shared" ref="J44:J55" si="1">+G44/$K$179*100</f>
        <v>0</v>
      </c>
      <c r="K44" s="143" t="s">
        <v>251</v>
      </c>
      <c r="L44" s="155">
        <f t="shared" ref="L44:L55" si="2">+H44/$L$179*100</f>
        <v>0</v>
      </c>
      <c r="M44" s="138"/>
      <c r="AI44" s="601"/>
      <c r="AJ44" s="602"/>
      <c r="AK44" s="602"/>
      <c r="AL44" s="602"/>
      <c r="AM44" s="602"/>
      <c r="AN44" s="602"/>
      <c r="AO44" s="602"/>
      <c r="AP44" s="603"/>
    </row>
    <row r="45" spans="2:42" ht="48.6" customHeight="1" thickBot="1">
      <c r="B45" s="27" t="s">
        <v>44</v>
      </c>
      <c r="C45" s="28" t="s">
        <v>45</v>
      </c>
      <c r="D45" s="283" t="s">
        <v>46</v>
      </c>
      <c r="E45" s="29" t="s">
        <v>5</v>
      </c>
      <c r="I45" s="143" t="s">
        <v>252</v>
      </c>
      <c r="J45" s="155">
        <f t="shared" si="1"/>
        <v>0</v>
      </c>
      <c r="K45" s="143" t="s">
        <v>252</v>
      </c>
      <c r="L45" s="155">
        <f t="shared" si="2"/>
        <v>0</v>
      </c>
      <c r="M45" s="139"/>
      <c r="AI45" s="604" t="s">
        <v>243</v>
      </c>
      <c r="AJ45" s="605"/>
      <c r="AK45" s="605"/>
      <c r="AL45" s="605"/>
      <c r="AM45" s="605"/>
      <c r="AN45" s="605"/>
      <c r="AO45" s="605"/>
      <c r="AP45" s="606"/>
    </row>
    <row r="46" spans="2:42" ht="15.75" thickBot="1">
      <c r="B46" s="30" t="s">
        <v>47</v>
      </c>
      <c r="C46" s="309">
        <v>99.457999999999998</v>
      </c>
      <c r="D46" s="174">
        <v>339.77800000000002</v>
      </c>
      <c r="E46" s="175">
        <f t="shared" ref="E46:E54" si="3">+C46+D46</f>
        <v>439.23599999999999</v>
      </c>
      <c r="I46" s="143" t="s">
        <v>253</v>
      </c>
      <c r="J46" s="155">
        <f t="shared" si="1"/>
        <v>0</v>
      </c>
      <c r="K46" s="143" t="s">
        <v>253</v>
      </c>
      <c r="L46" s="155">
        <f t="shared" si="2"/>
        <v>0</v>
      </c>
      <c r="M46" s="140"/>
      <c r="AI46" s="604" t="s">
        <v>244</v>
      </c>
      <c r="AJ46" s="605"/>
      <c r="AK46" s="605"/>
      <c r="AL46" s="605"/>
      <c r="AM46" s="605"/>
      <c r="AN46" s="605"/>
      <c r="AO46" s="605"/>
      <c r="AP46" s="606"/>
    </row>
    <row r="47" spans="2:42" ht="18.600000000000001" customHeight="1" thickBot="1">
      <c r="B47" s="30" t="s">
        <v>48</v>
      </c>
      <c r="C47" s="309">
        <f>61.119+64.027</f>
        <v>125.146</v>
      </c>
      <c r="D47" s="174">
        <v>28.849</v>
      </c>
      <c r="E47" s="175">
        <f t="shared" si="3"/>
        <v>153.995</v>
      </c>
      <c r="I47" s="143" t="s">
        <v>254</v>
      </c>
      <c r="J47" s="155">
        <f t="shared" si="1"/>
        <v>0</v>
      </c>
      <c r="K47" s="143" t="s">
        <v>254</v>
      </c>
      <c r="L47" s="155">
        <f t="shared" si="2"/>
        <v>0</v>
      </c>
      <c r="M47" s="140"/>
      <c r="AI47" s="604" t="s">
        <v>245</v>
      </c>
      <c r="AJ47" s="605"/>
      <c r="AK47" s="605"/>
      <c r="AL47" s="605"/>
      <c r="AM47" s="605"/>
      <c r="AN47" s="605"/>
      <c r="AO47" s="605"/>
      <c r="AP47" s="606"/>
    </row>
    <row r="48" spans="2:42" ht="15.75" thickBot="1">
      <c r="B48" s="30" t="s">
        <v>49</v>
      </c>
      <c r="C48" s="309">
        <v>20.776</v>
      </c>
      <c r="D48" s="174">
        <v>0.43</v>
      </c>
      <c r="E48" s="175">
        <f t="shared" si="3"/>
        <v>21.206</v>
      </c>
      <c r="I48" s="143" t="s">
        <v>255</v>
      </c>
      <c r="J48" s="155">
        <f t="shared" si="1"/>
        <v>0</v>
      </c>
      <c r="K48" s="143" t="s">
        <v>255</v>
      </c>
      <c r="L48" s="155">
        <f t="shared" si="2"/>
        <v>0</v>
      </c>
      <c r="M48" s="140"/>
      <c r="AI48" s="604" t="s">
        <v>246</v>
      </c>
      <c r="AJ48" s="605"/>
      <c r="AK48" s="605"/>
      <c r="AL48" s="605"/>
      <c r="AM48" s="605"/>
      <c r="AN48" s="605"/>
      <c r="AO48" s="605"/>
      <c r="AP48" s="606"/>
    </row>
    <row r="49" spans="2:42" ht="15" customHeight="1" thickBot="1">
      <c r="B49" s="30" t="s">
        <v>50</v>
      </c>
      <c r="C49" s="309">
        <v>35.582000000000001</v>
      </c>
      <c r="D49" s="174">
        <v>0.83499999999999996</v>
      </c>
      <c r="E49" s="175">
        <f t="shared" si="3"/>
        <v>36.417000000000002</v>
      </c>
      <c r="I49" s="143" t="s">
        <v>256</v>
      </c>
      <c r="J49" s="155">
        <f t="shared" si="1"/>
        <v>0</v>
      </c>
      <c r="K49" s="143" t="s">
        <v>256</v>
      </c>
      <c r="L49" s="155">
        <f t="shared" si="2"/>
        <v>0</v>
      </c>
      <c r="M49" s="140"/>
      <c r="AI49" s="604" t="s">
        <v>247</v>
      </c>
      <c r="AJ49" s="605"/>
      <c r="AK49" s="605"/>
      <c r="AL49" s="605"/>
      <c r="AM49" s="605"/>
      <c r="AN49" s="605"/>
      <c r="AO49" s="605"/>
      <c r="AP49" s="606"/>
    </row>
    <row r="50" spans="2:42" ht="19.149999999999999" customHeight="1" thickBot="1">
      <c r="B50" s="30" t="s">
        <v>51</v>
      </c>
      <c r="C50" s="309">
        <v>22.094000000000001</v>
      </c>
      <c r="D50" s="174">
        <v>0.14399999999999999</v>
      </c>
      <c r="E50" s="175">
        <f t="shared" si="3"/>
        <v>22.238</v>
      </c>
      <c r="I50" s="143" t="s">
        <v>257</v>
      </c>
      <c r="J50" s="155">
        <f t="shared" si="1"/>
        <v>0</v>
      </c>
      <c r="K50" s="143" t="s">
        <v>257</v>
      </c>
      <c r="L50" s="155">
        <f t="shared" si="2"/>
        <v>0</v>
      </c>
      <c r="M50" s="140"/>
      <c r="AI50" s="620" t="s">
        <v>248</v>
      </c>
      <c r="AJ50" s="621"/>
      <c r="AK50" s="621"/>
      <c r="AL50" s="621"/>
      <c r="AM50" s="621"/>
      <c r="AN50" s="621"/>
      <c r="AO50" s="621"/>
      <c r="AP50" s="622"/>
    </row>
    <row r="51" spans="2:42" ht="26.45" customHeight="1" thickBot="1">
      <c r="B51" s="30" t="s">
        <v>52</v>
      </c>
      <c r="C51" s="309">
        <f>36.849+50.058+32.206</f>
        <v>119.113</v>
      </c>
      <c r="D51" s="174">
        <v>0.85599999999999998</v>
      </c>
      <c r="E51" s="175">
        <f t="shared" si="3"/>
        <v>119.96899999999999</v>
      </c>
      <c r="I51" s="143" t="s">
        <v>258</v>
      </c>
      <c r="J51" s="155">
        <f t="shared" si="1"/>
        <v>0</v>
      </c>
      <c r="K51" s="143" t="s">
        <v>258</v>
      </c>
      <c r="L51" s="155">
        <f t="shared" si="2"/>
        <v>0</v>
      </c>
      <c r="M51" s="140"/>
      <c r="AI51" s="598" t="s">
        <v>249</v>
      </c>
      <c r="AJ51" s="599"/>
      <c r="AK51" s="599"/>
      <c r="AL51" s="599"/>
      <c r="AM51" s="599"/>
      <c r="AN51" s="599"/>
      <c r="AO51" s="599"/>
      <c r="AP51" s="600"/>
    </row>
    <row r="52" spans="2:42" ht="21" customHeight="1" thickBot="1">
      <c r="B52" s="30" t="s">
        <v>53</v>
      </c>
      <c r="C52" s="309">
        <v>57.033000000000001</v>
      </c>
      <c r="D52" s="174">
        <v>72.733000000000004</v>
      </c>
      <c r="E52" s="175">
        <f t="shared" si="3"/>
        <v>129.76600000000002</v>
      </c>
      <c r="I52" s="143" t="s">
        <v>259</v>
      </c>
      <c r="J52" s="155">
        <f t="shared" si="1"/>
        <v>0</v>
      </c>
      <c r="K52" s="143" t="s">
        <v>259</v>
      </c>
      <c r="L52" s="155">
        <f t="shared" si="2"/>
        <v>0</v>
      </c>
      <c r="M52" s="140"/>
    </row>
    <row r="53" spans="2:42" ht="19.149999999999999" customHeight="1" thickBot="1">
      <c r="B53" s="30" t="s">
        <v>54</v>
      </c>
      <c r="C53" s="309">
        <v>76.385999999999996</v>
      </c>
      <c r="D53" s="174">
        <v>14.949</v>
      </c>
      <c r="E53" s="175">
        <f t="shared" si="3"/>
        <v>91.334999999999994</v>
      </c>
      <c r="I53" s="143" t="s">
        <v>260</v>
      </c>
      <c r="J53" s="155">
        <f t="shared" si="1"/>
        <v>0</v>
      </c>
      <c r="K53" s="143" t="s">
        <v>260</v>
      </c>
      <c r="L53" s="155">
        <f t="shared" si="2"/>
        <v>0</v>
      </c>
      <c r="M53" s="140"/>
    </row>
    <row r="54" spans="2:42" ht="21" customHeight="1" thickBot="1">
      <c r="B54" s="30" t="s">
        <v>55</v>
      </c>
      <c r="C54" s="309">
        <v>50.289000000000001</v>
      </c>
      <c r="D54" s="174">
        <v>0</v>
      </c>
      <c r="E54" s="175">
        <f t="shared" si="3"/>
        <v>50.289000000000001</v>
      </c>
      <c r="I54" s="143" t="s">
        <v>261</v>
      </c>
      <c r="J54" s="155">
        <f t="shared" si="1"/>
        <v>0</v>
      </c>
      <c r="K54" s="143" t="s">
        <v>261</v>
      </c>
      <c r="L54" s="155">
        <f t="shared" si="2"/>
        <v>0</v>
      </c>
      <c r="M54" s="140"/>
    </row>
    <row r="55" spans="2:42" ht="15.6" customHeight="1" thickBot="1">
      <c r="B55" s="30" t="s">
        <v>57</v>
      </c>
      <c r="C55" s="309">
        <v>0</v>
      </c>
      <c r="D55" s="174">
        <f>5.836+1.044</f>
        <v>6.8800000000000008</v>
      </c>
      <c r="E55" s="175">
        <f>+C55+D55</f>
        <v>6.8800000000000008</v>
      </c>
      <c r="G55">
        <f>471.195-470.89</f>
        <v>0.30500000000000682</v>
      </c>
      <c r="H55">
        <f>4.958+1.156+0.119</f>
        <v>6.2329999999999997</v>
      </c>
      <c r="I55" s="144"/>
      <c r="J55" s="155">
        <f t="shared" si="1"/>
        <v>2.5535620096952204E-4</v>
      </c>
      <c r="K55" s="45"/>
      <c r="L55" s="155">
        <f t="shared" si="2"/>
        <v>7.8304020100502511E-2</v>
      </c>
      <c r="M55" s="140"/>
    </row>
    <row r="56" spans="2:42" ht="15.75" thickBot="1">
      <c r="B56" s="32" t="s">
        <v>58</v>
      </c>
      <c r="C56" s="310">
        <f>SUM(C46:C55)</f>
        <v>605.87699999999995</v>
      </c>
      <c r="D56" s="176">
        <v>470.88799999999998</v>
      </c>
      <c r="E56" s="175">
        <f>+C56+D56</f>
        <v>1076.7649999999999</v>
      </c>
      <c r="M56" s="140"/>
    </row>
    <row r="62" spans="2:42" ht="15.75" thickBot="1">
      <c r="H62" s="536" t="s">
        <v>59</v>
      </c>
      <c r="I62" s="537"/>
      <c r="J62" s="537"/>
      <c r="K62" s="537"/>
      <c r="L62" s="537"/>
      <c r="M62" s="537"/>
      <c r="N62" s="537"/>
      <c r="O62" s="538"/>
      <c r="P62" s="202"/>
      <c r="Q62" s="202"/>
    </row>
    <row r="63" spans="2:42" ht="15" customHeight="1" thickBot="1">
      <c r="H63" s="515" t="s">
        <v>0</v>
      </c>
      <c r="I63" s="539" t="s">
        <v>60</v>
      </c>
      <c r="J63" s="540"/>
      <c r="K63" s="540"/>
      <c r="L63" s="540"/>
      <c r="M63" s="540"/>
      <c r="N63" s="540"/>
      <c r="O63" s="541"/>
      <c r="P63" s="203"/>
      <c r="Q63" s="203"/>
    </row>
    <row r="64" spans="2:42" ht="26.25">
      <c r="H64" s="516"/>
      <c r="I64" s="311" t="s">
        <v>61</v>
      </c>
      <c r="J64" s="312" t="s">
        <v>1</v>
      </c>
      <c r="K64" s="311" t="s">
        <v>62</v>
      </c>
      <c r="L64" s="312" t="s">
        <v>2</v>
      </c>
      <c r="M64" s="313" t="s">
        <v>3</v>
      </c>
      <c r="N64" s="312" t="s">
        <v>4</v>
      </c>
      <c r="O64" s="314" t="s">
        <v>5</v>
      </c>
    </row>
    <row r="65" spans="8:15">
      <c r="H65" s="523" t="s">
        <v>6</v>
      </c>
      <c r="I65" s="315">
        <v>182.26</v>
      </c>
      <c r="J65" s="315">
        <v>76.19</v>
      </c>
      <c r="K65" s="315">
        <v>13.89</v>
      </c>
      <c r="L65" s="315">
        <v>64.75</v>
      </c>
      <c r="M65" s="315">
        <v>15.09</v>
      </c>
      <c r="N65" s="315">
        <v>111.48</v>
      </c>
      <c r="O65" s="315">
        <v>463.66</v>
      </c>
    </row>
    <row r="66" spans="8:15" ht="15.75" thickBot="1">
      <c r="H66" s="524"/>
      <c r="I66" s="316">
        <v>-10.17</v>
      </c>
      <c r="J66" s="316">
        <v>-19.87</v>
      </c>
      <c r="K66" s="316">
        <v>-14.04</v>
      </c>
      <c r="L66" s="316">
        <v>-10.97</v>
      </c>
      <c r="M66" s="316" t="s">
        <v>63</v>
      </c>
      <c r="N66" s="316">
        <v>-10.99</v>
      </c>
      <c r="O66" s="316">
        <v>-9.91</v>
      </c>
    </row>
    <row r="67" spans="8:15">
      <c r="H67" s="525" t="s">
        <v>7</v>
      </c>
      <c r="I67" s="315">
        <v>194.21</v>
      </c>
      <c r="J67" s="315">
        <v>97.6</v>
      </c>
      <c r="K67" s="315">
        <v>14.97</v>
      </c>
      <c r="L67" s="315">
        <v>74.17</v>
      </c>
      <c r="M67" s="315">
        <v>18.43</v>
      </c>
      <c r="N67" s="315">
        <v>121.34</v>
      </c>
      <c r="O67" s="315">
        <v>520.72</v>
      </c>
    </row>
    <row r="68" spans="8:15" ht="15.75" thickBot="1">
      <c r="H68" s="524"/>
      <c r="I68" s="316">
        <v>6.56</v>
      </c>
      <c r="J68" s="316">
        <v>28.1</v>
      </c>
      <c r="K68" s="316">
        <v>7.78</v>
      </c>
      <c r="L68" s="316">
        <v>14.55</v>
      </c>
      <c r="M68" s="316">
        <v>22.13</v>
      </c>
      <c r="N68" s="316">
        <v>8.84</v>
      </c>
      <c r="O68" s="316">
        <v>12.31</v>
      </c>
    </row>
    <row r="69" spans="8:15">
      <c r="H69" s="525" t="s">
        <v>8</v>
      </c>
      <c r="I69" s="315">
        <v>211.81</v>
      </c>
      <c r="J69" s="315">
        <v>108.06</v>
      </c>
      <c r="K69" s="315">
        <v>14.47</v>
      </c>
      <c r="L69" s="315">
        <v>82.4</v>
      </c>
      <c r="M69" s="315">
        <v>22.91</v>
      </c>
      <c r="N69" s="315">
        <v>134.04</v>
      </c>
      <c r="O69" s="315">
        <v>573.69000000000005</v>
      </c>
    </row>
    <row r="70" spans="8:15" ht="15.75" thickBot="1">
      <c r="H70" s="524"/>
      <c r="I70" s="317">
        <v>9.06</v>
      </c>
      <c r="J70" s="317">
        <v>10.72</v>
      </c>
      <c r="K70" s="317">
        <v>-3.34</v>
      </c>
      <c r="L70" s="317">
        <v>11.1</v>
      </c>
      <c r="M70" s="317">
        <v>24.31</v>
      </c>
      <c r="N70" s="317">
        <v>10.47</v>
      </c>
      <c r="O70" s="317">
        <v>10.17</v>
      </c>
    </row>
    <row r="71" spans="8:15">
      <c r="H71" s="525" t="s">
        <v>9</v>
      </c>
      <c r="I71" s="315">
        <v>227.08</v>
      </c>
      <c r="J71" s="315">
        <v>114.58</v>
      </c>
      <c r="K71" s="315">
        <v>16.39</v>
      </c>
      <c r="L71" s="315">
        <v>78.64</v>
      </c>
      <c r="M71" s="315">
        <v>25.88</v>
      </c>
      <c r="N71" s="315">
        <v>186.12</v>
      </c>
      <c r="O71" s="315">
        <v>648.70000000000005</v>
      </c>
    </row>
    <row r="72" spans="8:15" ht="15.75" thickBot="1">
      <c r="H72" s="524"/>
      <c r="I72" s="317">
        <v>7.21</v>
      </c>
      <c r="J72" s="317">
        <v>6.03</v>
      </c>
      <c r="K72" s="317">
        <v>13.27</v>
      </c>
      <c r="L72" s="317">
        <v>-4.5599999999999996</v>
      </c>
      <c r="M72" s="317">
        <v>12.96</v>
      </c>
      <c r="N72" s="317">
        <v>38.85</v>
      </c>
      <c r="O72" s="317">
        <v>13.08</v>
      </c>
    </row>
    <row r="73" spans="8:15">
      <c r="H73" s="525" t="s">
        <v>10</v>
      </c>
      <c r="I73" s="318">
        <v>257.93</v>
      </c>
      <c r="J73" s="318">
        <v>123.05</v>
      </c>
      <c r="K73" s="318">
        <v>17.989999999999998</v>
      </c>
      <c r="L73" s="318">
        <v>83.58</v>
      </c>
      <c r="M73" s="318">
        <v>25.01</v>
      </c>
      <c r="N73" s="318">
        <v>218.13</v>
      </c>
      <c r="O73" s="318">
        <v>725.69</v>
      </c>
    </row>
    <row r="74" spans="8:15" ht="15.75" thickBot="1">
      <c r="H74" s="524"/>
      <c r="I74" s="317">
        <v>13.59</v>
      </c>
      <c r="J74" s="317">
        <v>7.39</v>
      </c>
      <c r="K74" s="317">
        <v>9.76</v>
      </c>
      <c r="L74" s="317">
        <v>6.28</v>
      </c>
      <c r="M74" s="317">
        <v>-3.36</v>
      </c>
      <c r="N74" s="317">
        <v>17.2</v>
      </c>
      <c r="O74" s="317">
        <v>11.87</v>
      </c>
    </row>
    <row r="75" spans="8:15">
      <c r="H75" s="525" t="s">
        <v>11</v>
      </c>
      <c r="I75" s="315">
        <v>272.02</v>
      </c>
      <c r="J75" s="315">
        <v>128.53</v>
      </c>
      <c r="K75" s="315">
        <v>14.66</v>
      </c>
      <c r="L75" s="315">
        <v>98.39</v>
      </c>
      <c r="M75" s="315">
        <v>26.85</v>
      </c>
      <c r="N75" s="315">
        <v>203.57</v>
      </c>
      <c r="O75" s="315">
        <v>744.02</v>
      </c>
    </row>
    <row r="76" spans="8:15" ht="15.75" thickBot="1">
      <c r="H76" s="528"/>
      <c r="I76" s="317">
        <v>5.46</v>
      </c>
      <c r="J76" s="317">
        <v>4.45</v>
      </c>
      <c r="K76" s="317">
        <v>-18.510000000000002</v>
      </c>
      <c r="L76" s="317">
        <v>17.72</v>
      </c>
      <c r="M76" s="317">
        <v>7.36</v>
      </c>
      <c r="N76" s="317">
        <v>-6.67</v>
      </c>
      <c r="O76" s="317">
        <v>2.5299999999999998</v>
      </c>
    </row>
    <row r="77" spans="8:15">
      <c r="H77" s="529" t="s">
        <v>12</v>
      </c>
      <c r="I77" s="315">
        <v>312.58</v>
      </c>
      <c r="J77" s="315">
        <v>149.71</v>
      </c>
      <c r="K77" s="315">
        <v>14.69</v>
      </c>
      <c r="L77" s="315">
        <v>113.06</v>
      </c>
      <c r="M77" s="315">
        <v>27.23</v>
      </c>
      <c r="N77" s="315">
        <v>232.76</v>
      </c>
      <c r="O77" s="315">
        <v>850.03</v>
      </c>
    </row>
    <row r="78" spans="8:15" ht="15.75" thickBot="1">
      <c r="H78" s="528"/>
      <c r="I78" s="317">
        <v>14.91</v>
      </c>
      <c r="J78" s="317">
        <v>16.48</v>
      </c>
      <c r="K78" s="317">
        <v>0.2</v>
      </c>
      <c r="L78" s="317">
        <v>14.91</v>
      </c>
      <c r="M78" s="317">
        <v>1.42</v>
      </c>
      <c r="N78" s="317">
        <v>14.34</v>
      </c>
      <c r="O78" s="317">
        <v>14.25</v>
      </c>
    </row>
    <row r="79" spans="8:15">
      <c r="H79" s="529" t="s">
        <v>13</v>
      </c>
      <c r="I79" s="315">
        <v>325.26</v>
      </c>
      <c r="J79" s="315">
        <v>131.63999999999999</v>
      </c>
      <c r="K79" s="315">
        <v>13.08</v>
      </c>
      <c r="L79" s="315">
        <v>133.61000000000001</v>
      </c>
      <c r="M79" s="315">
        <v>38.97</v>
      </c>
      <c r="N79" s="315">
        <v>242.88</v>
      </c>
      <c r="O79" s="315">
        <v>885.44</v>
      </c>
    </row>
    <row r="80" spans="8:15" ht="15.75" thickBot="1">
      <c r="H80" s="528"/>
      <c r="I80" s="317">
        <v>4.0599999999999996</v>
      </c>
      <c r="J80" s="317">
        <v>-12.07</v>
      </c>
      <c r="K80" s="317">
        <v>-10.96</v>
      </c>
      <c r="L80" s="317">
        <v>18.18</v>
      </c>
      <c r="M80" s="317">
        <v>43.11</v>
      </c>
      <c r="N80" s="317">
        <v>4.3499999999999996</v>
      </c>
      <c r="O80" s="317">
        <v>4.17</v>
      </c>
    </row>
    <row r="81" spans="8:25">
      <c r="H81" s="529" t="s">
        <v>14</v>
      </c>
      <c r="I81" s="315">
        <v>330.16</v>
      </c>
      <c r="J81" s="315">
        <v>91.34</v>
      </c>
      <c r="K81" s="315">
        <v>14.37</v>
      </c>
      <c r="L81" s="315">
        <v>157.82</v>
      </c>
      <c r="M81" s="315">
        <v>36.14</v>
      </c>
      <c r="N81" s="319">
        <v>284.10000000000002</v>
      </c>
      <c r="O81" s="315">
        <v>913.93</v>
      </c>
    </row>
    <row r="82" spans="8:25" ht="15.75" thickBot="1">
      <c r="H82" s="528"/>
      <c r="I82" s="317">
        <v>1.51</v>
      </c>
      <c r="J82" s="317">
        <v>-30.61</v>
      </c>
      <c r="K82" s="317">
        <v>9.86</v>
      </c>
      <c r="L82" s="317">
        <v>18.12</v>
      </c>
      <c r="M82" s="317">
        <v>-7.26</v>
      </c>
      <c r="N82" s="317">
        <v>16.97</v>
      </c>
      <c r="O82" s="317">
        <v>3.22</v>
      </c>
    </row>
    <row r="83" spans="8:25">
      <c r="H83" s="529" t="s">
        <v>15</v>
      </c>
      <c r="I83" s="319">
        <v>349.3</v>
      </c>
      <c r="J83" s="319">
        <v>49.15</v>
      </c>
      <c r="K83" s="319">
        <v>11.95</v>
      </c>
      <c r="L83" s="319">
        <v>196.06</v>
      </c>
      <c r="M83" s="319">
        <v>27.35</v>
      </c>
      <c r="N83" s="319">
        <v>299.95</v>
      </c>
      <c r="O83" s="319">
        <v>933.75</v>
      </c>
      <c r="R83">
        <f>180.725+168.565</f>
        <v>349.28999999999996</v>
      </c>
      <c r="S83">
        <f>27.289+21.855</f>
        <v>49.144000000000005</v>
      </c>
      <c r="T83" s="34">
        <v>11.95</v>
      </c>
      <c r="U83">
        <f>86.804+109.264</f>
        <v>196.06799999999998</v>
      </c>
    </row>
    <row r="84" spans="8:25" ht="15.75" thickBot="1">
      <c r="H84" s="528"/>
      <c r="I84" s="317">
        <v>5.8</v>
      </c>
      <c r="J84" s="317">
        <v>-46.19</v>
      </c>
      <c r="K84" s="317">
        <v>-16.84</v>
      </c>
      <c r="L84" s="317">
        <v>24.23</v>
      </c>
      <c r="M84" s="317">
        <v>-24.32</v>
      </c>
      <c r="N84" s="317">
        <v>5.58</v>
      </c>
      <c r="O84" s="317">
        <v>2.17</v>
      </c>
      <c r="R84" s="35">
        <f t="shared" ref="R84:X84" si="4">+(I83-I81)/I81*100</f>
        <v>5.7971892415798356</v>
      </c>
      <c r="S84" s="35">
        <f t="shared" si="4"/>
        <v>-46.190059119772279</v>
      </c>
      <c r="T84" s="35">
        <f t="shared" si="4"/>
        <v>-16.840640222686151</v>
      </c>
      <c r="U84" s="35">
        <f t="shared" si="4"/>
        <v>24.230135597516163</v>
      </c>
      <c r="V84" s="35">
        <f t="shared" si="4"/>
        <v>-24.322080796900938</v>
      </c>
      <c r="W84" s="35">
        <f t="shared" si="4"/>
        <v>5.5790214713129052</v>
      </c>
      <c r="X84" s="35">
        <f t="shared" si="4"/>
        <v>2.1686562428194773</v>
      </c>
      <c r="Y84" s="35" t="e">
        <f t="shared" ref="Y84" si="5">+(R83-R81)/R81*100</f>
        <v>#DIV/0!</v>
      </c>
    </row>
    <row r="85" spans="8:25">
      <c r="H85" s="529" t="s">
        <v>64</v>
      </c>
      <c r="I85" s="199">
        <f>188.743+169.777</f>
        <v>358.52</v>
      </c>
      <c r="J85" s="199">
        <f>24.616+18.338</f>
        <v>42.954000000000001</v>
      </c>
      <c r="K85" s="199">
        <v>14.178000000000001</v>
      </c>
      <c r="L85" s="199">
        <f>104.271+126.321</f>
        <v>230.59199999999998</v>
      </c>
      <c r="M85" s="199">
        <f>13.784+12.01</f>
        <v>25.794</v>
      </c>
      <c r="N85" s="199">
        <f>4.796+114.672+112.295+76.346</f>
        <v>308.10900000000004</v>
      </c>
      <c r="O85" s="199">
        <f>SUM(I85:N85)</f>
        <v>980.14699999999993</v>
      </c>
    </row>
    <row r="86" spans="8:25" ht="15.75" thickBot="1">
      <c r="H86" s="523"/>
      <c r="I86" s="320">
        <f>+(I85-I83)/I83*100</f>
        <v>2.6395648439736528</v>
      </c>
      <c r="J86" s="320">
        <f t="shared" ref="J86:L86" si="6">+(J85-J83)/J83*100</f>
        <v>-12.606307222787382</v>
      </c>
      <c r="K86" s="320">
        <f t="shared" si="6"/>
        <v>18.644351464435161</v>
      </c>
      <c r="L86" s="320">
        <f t="shared" si="6"/>
        <v>17.612975619708244</v>
      </c>
      <c r="M86" s="320">
        <f>+(M85-M83)/M83*100</f>
        <v>-5.6892138939670964</v>
      </c>
      <c r="N86" s="320">
        <f>+(N85-N83)/N83*100</f>
        <v>2.7201200200033502</v>
      </c>
      <c r="O86" s="320">
        <f>+(O85-O83)/O83*100</f>
        <v>4.9688888888888814</v>
      </c>
    </row>
    <row r="87" spans="8:25">
      <c r="H87" s="673" t="s">
        <v>198</v>
      </c>
      <c r="I87" s="321"/>
      <c r="J87" s="321"/>
      <c r="K87" s="321"/>
      <c r="L87" s="321"/>
      <c r="M87" s="321"/>
      <c r="N87" s="321"/>
      <c r="O87" s="321"/>
    </row>
    <row r="88" spans="8:25" ht="15.75" thickBot="1">
      <c r="H88" s="674"/>
      <c r="I88" s="322"/>
      <c r="J88" s="322"/>
      <c r="K88" s="322"/>
      <c r="L88" s="322"/>
      <c r="M88" s="322"/>
      <c r="N88" s="322"/>
      <c r="O88" s="322"/>
    </row>
    <row r="89" spans="8:25">
      <c r="H89" s="533" t="s">
        <v>65</v>
      </c>
      <c r="I89" s="534"/>
      <c r="J89" s="534"/>
      <c r="K89" s="534"/>
      <c r="L89" s="534"/>
      <c r="M89" s="534"/>
      <c r="N89" s="534"/>
      <c r="O89" s="534"/>
      <c r="P89" s="534"/>
      <c r="Q89" s="535"/>
    </row>
    <row r="90" spans="8:25" ht="15.75" thickBot="1">
      <c r="H90" s="530"/>
      <c r="I90" s="531"/>
      <c r="J90" s="531"/>
      <c r="K90" s="531"/>
      <c r="L90" s="531"/>
      <c r="M90" s="531"/>
      <c r="N90" s="531"/>
      <c r="O90" s="531"/>
      <c r="P90" s="531"/>
      <c r="Q90" s="532"/>
    </row>
    <row r="95" spans="8:25" ht="15.75" thickBot="1"/>
    <row r="96" spans="8:25" ht="15.6" customHeight="1">
      <c r="H96" s="675" t="s">
        <v>66</v>
      </c>
      <c r="I96" s="676"/>
      <c r="J96" s="676"/>
      <c r="K96" s="676"/>
      <c r="L96" s="676"/>
      <c r="M96" s="676"/>
      <c r="N96" s="676"/>
      <c r="O96" s="323"/>
      <c r="P96" s="323"/>
    </row>
    <row r="97" spans="8:19" ht="15.75" thickBot="1">
      <c r="H97" s="677" t="s">
        <v>43</v>
      </c>
      <c r="I97" s="678"/>
      <c r="J97" s="678"/>
      <c r="K97" s="678"/>
      <c r="L97" s="678"/>
      <c r="M97" s="678"/>
      <c r="N97" s="678"/>
      <c r="O97" s="324"/>
      <c r="P97" s="324"/>
    </row>
    <row r="98" spans="8:19" ht="15.75" thickBot="1">
      <c r="H98" s="542" t="s">
        <v>67</v>
      </c>
      <c r="I98" s="544" t="s">
        <v>64</v>
      </c>
      <c r="J98" s="545"/>
      <c r="K98" s="545"/>
      <c r="L98" s="544" t="s">
        <v>198</v>
      </c>
      <c r="M98" s="545"/>
      <c r="N98" s="545"/>
      <c r="O98" s="324"/>
      <c r="P98" s="324"/>
    </row>
    <row r="99" spans="8:19" ht="15.75" thickBot="1">
      <c r="H99" s="543"/>
      <c r="I99" s="325" t="s">
        <v>68</v>
      </c>
      <c r="J99" s="325" t="s">
        <v>69</v>
      </c>
      <c r="K99" s="326" t="s">
        <v>5</v>
      </c>
      <c r="L99" s="325" t="s">
        <v>68</v>
      </c>
      <c r="M99" s="325" t="s">
        <v>69</v>
      </c>
      <c r="N99" s="326" t="s">
        <v>5</v>
      </c>
      <c r="O99" s="282"/>
      <c r="P99" s="282"/>
    </row>
    <row r="100" spans="8:19" ht="24.6" customHeight="1">
      <c r="H100" s="546" t="s">
        <v>70</v>
      </c>
      <c r="I100" s="327">
        <v>11.57</v>
      </c>
      <c r="J100" s="327">
        <v>1.3</v>
      </c>
      <c r="K100" s="328">
        <f>+I100+J100</f>
        <v>12.870000000000001</v>
      </c>
      <c r="L100" s="327">
        <v>11.57</v>
      </c>
      <c r="M100" s="327">
        <v>1.3</v>
      </c>
      <c r="N100" s="328">
        <f>+L100+M100</f>
        <v>12.870000000000001</v>
      </c>
      <c r="O100" s="282"/>
      <c r="P100" s="282"/>
      <c r="Q100" s="39">
        <f>+L100/$L$126*100</f>
        <v>2.6245766537441617</v>
      </c>
      <c r="R100" s="39">
        <f>+M100/$M$126*100</f>
        <v>1.1337868480725624</v>
      </c>
      <c r="S100" s="39">
        <f>+N100/$N$126*100</f>
        <v>2.3168608785349232</v>
      </c>
    </row>
    <row r="101" spans="8:19" ht="15.75" thickBot="1">
      <c r="H101" s="527"/>
      <c r="I101" s="329">
        <v>2.6245766537441617</v>
      </c>
      <c r="J101" s="329">
        <v>1.1337868480725624</v>
      </c>
      <c r="K101" s="329">
        <v>2.3168608785349232</v>
      </c>
      <c r="L101" s="329">
        <v>2.6245766537441617</v>
      </c>
      <c r="M101" s="329">
        <v>1.1337868480725624</v>
      </c>
      <c r="N101" s="329">
        <v>2.3168608785349232</v>
      </c>
      <c r="O101" s="282"/>
      <c r="P101" s="282"/>
      <c r="Q101" s="38"/>
      <c r="R101" s="38"/>
      <c r="S101" s="38"/>
    </row>
    <row r="102" spans="8:19" ht="24.6" customHeight="1">
      <c r="H102" s="526" t="s">
        <v>71</v>
      </c>
      <c r="I102" s="327">
        <v>23.83</v>
      </c>
      <c r="J102" s="327">
        <v>4.6900000000000004</v>
      </c>
      <c r="K102" s="328">
        <f>+I102+J102</f>
        <v>28.52</v>
      </c>
      <c r="L102" s="327">
        <v>23.83</v>
      </c>
      <c r="M102" s="327">
        <v>4.6900000000000004</v>
      </c>
      <c r="N102" s="328">
        <f>+L102+M102</f>
        <v>28.52</v>
      </c>
      <c r="O102" s="282"/>
      <c r="P102" s="282"/>
      <c r="Q102" s="39">
        <f t="shared" ref="Q102:Q126" si="7">+L102/$L$126*100</f>
        <v>5.40567516497177</v>
      </c>
      <c r="R102" s="39">
        <f>+M102/$M$126*100</f>
        <v>4.09035409035409</v>
      </c>
      <c r="S102" s="39">
        <f>+N102/$N$126*100</f>
        <v>5.1341781084550115</v>
      </c>
    </row>
    <row r="103" spans="8:19" ht="15.75" thickBot="1">
      <c r="H103" s="527"/>
      <c r="I103" s="329">
        <f t="shared" ref="I103:N103" si="8">+N102</f>
        <v>28.52</v>
      </c>
      <c r="J103" s="329">
        <f t="shared" si="8"/>
        <v>0</v>
      </c>
      <c r="K103" s="329">
        <f t="shared" si="8"/>
        <v>0</v>
      </c>
      <c r="L103" s="329">
        <f t="shared" si="8"/>
        <v>5.40567516497177</v>
      </c>
      <c r="M103" s="329">
        <f t="shared" si="8"/>
        <v>4.09035409035409</v>
      </c>
      <c r="N103" s="329">
        <f t="shared" si="8"/>
        <v>5.1341781084550115</v>
      </c>
      <c r="O103" s="282"/>
      <c r="P103" s="282"/>
      <c r="Q103" s="39"/>
      <c r="R103" s="39"/>
      <c r="S103" s="39"/>
    </row>
    <row r="104" spans="8:19">
      <c r="H104" s="526" t="s">
        <v>72</v>
      </c>
      <c r="I104" s="330">
        <v>45.854999999999997</v>
      </c>
      <c r="J104" s="330">
        <v>22.148</v>
      </c>
      <c r="K104" s="328">
        <f>+I104+J104</f>
        <v>68.003</v>
      </c>
      <c r="L104" s="330">
        <v>45.854999999999997</v>
      </c>
      <c r="M104" s="330">
        <v>22.148</v>
      </c>
      <c r="N104" s="328">
        <f>+L104+M104</f>
        <v>68.003</v>
      </c>
      <c r="O104" s="282"/>
      <c r="P104" s="282"/>
      <c r="Q104" s="39">
        <f t="shared" si="7"/>
        <v>10.401898224497712</v>
      </c>
      <c r="R104" s="39">
        <f>+M104/$M$126*100</f>
        <v>19.316239316239315</v>
      </c>
      <c r="S104" s="39">
        <f>+N104/$N$126*100</f>
        <v>12.241918440016345</v>
      </c>
    </row>
    <row r="105" spans="8:19" ht="15.75" thickBot="1">
      <c r="H105" s="527"/>
      <c r="I105" s="329">
        <f t="shared" ref="I105:N105" si="9">+N104</f>
        <v>68.003</v>
      </c>
      <c r="J105" s="329">
        <f t="shared" si="9"/>
        <v>0</v>
      </c>
      <c r="K105" s="329">
        <f t="shared" si="9"/>
        <v>0</v>
      </c>
      <c r="L105" s="329">
        <f t="shared" si="9"/>
        <v>10.401898224497712</v>
      </c>
      <c r="M105" s="329">
        <f t="shared" si="9"/>
        <v>19.316239316239315</v>
      </c>
      <c r="N105" s="329">
        <f t="shared" si="9"/>
        <v>12.241918440016345</v>
      </c>
      <c r="O105" s="282"/>
      <c r="P105" s="282"/>
      <c r="Q105" s="39"/>
      <c r="R105" s="39"/>
      <c r="S105" s="39"/>
    </row>
    <row r="106" spans="8:19">
      <c r="H106" s="526" t="s">
        <v>73</v>
      </c>
      <c r="I106" s="330">
        <v>41.398000000000003</v>
      </c>
      <c r="J106" s="330">
        <v>17.106000000000002</v>
      </c>
      <c r="K106" s="328">
        <f>+I106+J106</f>
        <v>58.504000000000005</v>
      </c>
      <c r="L106" s="330">
        <v>41.398000000000003</v>
      </c>
      <c r="M106" s="330">
        <v>17.106000000000002</v>
      </c>
      <c r="N106" s="328">
        <f>+L106+M106</f>
        <v>58.504000000000005</v>
      </c>
      <c r="O106" s="282"/>
      <c r="P106" s="282"/>
      <c r="Q106" s="39">
        <f t="shared" si="7"/>
        <v>9.3908577624633374</v>
      </c>
      <c r="R106" s="39">
        <f>+M106/$M$126*100</f>
        <v>14.918890633176348</v>
      </c>
      <c r="S106" s="39">
        <f>+N106/$N$126*100</f>
        <v>10.531905892603508</v>
      </c>
    </row>
    <row r="107" spans="8:19" ht="15.75" thickBot="1">
      <c r="H107" s="527"/>
      <c r="I107" s="329">
        <f t="shared" ref="I107:N107" si="10">+N106</f>
        <v>58.504000000000005</v>
      </c>
      <c r="J107" s="329">
        <f t="shared" si="10"/>
        <v>0</v>
      </c>
      <c r="K107" s="329">
        <f t="shared" si="10"/>
        <v>0</v>
      </c>
      <c r="L107" s="329">
        <f t="shared" si="10"/>
        <v>9.3908577624633374</v>
      </c>
      <c r="M107" s="329">
        <f t="shared" si="10"/>
        <v>14.918890633176348</v>
      </c>
      <c r="N107" s="329">
        <f t="shared" si="10"/>
        <v>10.531905892603508</v>
      </c>
      <c r="O107" s="282"/>
      <c r="P107" s="282"/>
      <c r="Q107" s="39"/>
      <c r="R107" s="39"/>
      <c r="S107" s="39"/>
    </row>
    <row r="108" spans="8:19">
      <c r="H108" s="526" t="s">
        <v>74</v>
      </c>
      <c r="I108" s="330">
        <v>47.886000000000003</v>
      </c>
      <c r="J108" s="330">
        <v>3.2189999999999999</v>
      </c>
      <c r="K108" s="328">
        <f>+I108+J108</f>
        <v>51.105000000000004</v>
      </c>
      <c r="L108" s="330">
        <v>47.886000000000003</v>
      </c>
      <c r="M108" s="330">
        <v>3.2189999999999999</v>
      </c>
      <c r="N108" s="328">
        <f>+L108+M108</f>
        <v>51.105000000000004</v>
      </c>
      <c r="O108" s="282"/>
      <c r="P108" s="282"/>
      <c r="Q108" s="39">
        <f t="shared" si="7"/>
        <v>10.862616909351161</v>
      </c>
      <c r="R108" s="39">
        <f>+M108/$M$126*100</f>
        <v>2.8074306645735212</v>
      </c>
      <c r="S108" s="39">
        <f>+N108/$N$126*100</f>
        <v>9.1999359127837792</v>
      </c>
    </row>
    <row r="109" spans="8:19" ht="15.75" thickBot="1">
      <c r="H109" s="527"/>
      <c r="I109" s="329">
        <f t="shared" ref="I109:N109" si="11">+N108</f>
        <v>51.105000000000004</v>
      </c>
      <c r="J109" s="329">
        <f t="shared" si="11"/>
        <v>0</v>
      </c>
      <c r="K109" s="329">
        <f t="shared" si="11"/>
        <v>0</v>
      </c>
      <c r="L109" s="329">
        <f t="shared" si="11"/>
        <v>10.862616909351161</v>
      </c>
      <c r="M109" s="329">
        <f t="shared" si="11"/>
        <v>2.8074306645735212</v>
      </c>
      <c r="N109" s="329">
        <f t="shared" si="11"/>
        <v>9.1999359127837792</v>
      </c>
      <c r="O109" s="282"/>
      <c r="P109" s="282"/>
      <c r="Q109" s="39"/>
      <c r="R109" s="39"/>
      <c r="S109" s="39"/>
    </row>
    <row r="110" spans="8:19">
      <c r="H110" s="526" t="s">
        <v>75</v>
      </c>
      <c r="I110" s="330">
        <v>14.725</v>
      </c>
      <c r="J110" s="330">
        <v>12.612</v>
      </c>
      <c r="K110" s="328">
        <f>+I110+J110</f>
        <v>27.337</v>
      </c>
      <c r="L110" s="330">
        <v>14.725</v>
      </c>
      <c r="M110" s="330">
        <v>12.612</v>
      </c>
      <c r="N110" s="328">
        <f>+L110+M110</f>
        <v>27.337</v>
      </c>
      <c r="O110" s="282"/>
      <c r="P110" s="282"/>
      <c r="Q110" s="39">
        <f t="shared" si="7"/>
        <v>3.3402671760054266</v>
      </c>
      <c r="R110" s="39">
        <f>+M110/$M$126*100</f>
        <v>10.999476713762427</v>
      </c>
      <c r="S110" s="39">
        <f>+N110/$N$126*100</f>
        <v>4.9212141287108917</v>
      </c>
    </row>
    <row r="111" spans="8:19" ht="15.75" thickBot="1">
      <c r="H111" s="527"/>
      <c r="I111" s="329">
        <f t="shared" ref="I111:N111" si="12">+N110</f>
        <v>27.337</v>
      </c>
      <c r="J111" s="329">
        <f t="shared" si="12"/>
        <v>0</v>
      </c>
      <c r="K111" s="329">
        <f t="shared" si="12"/>
        <v>0</v>
      </c>
      <c r="L111" s="329">
        <f t="shared" si="12"/>
        <v>3.3402671760054266</v>
      </c>
      <c r="M111" s="329">
        <f t="shared" si="12"/>
        <v>10.999476713762427</v>
      </c>
      <c r="N111" s="329">
        <f t="shared" si="12"/>
        <v>4.9212141287108917</v>
      </c>
      <c r="O111" s="282"/>
      <c r="P111" s="282"/>
      <c r="Q111" s="39"/>
      <c r="R111" s="39"/>
      <c r="S111" s="39"/>
    </row>
    <row r="112" spans="8:19">
      <c r="H112" s="526" t="s">
        <v>76</v>
      </c>
      <c r="I112" s="327">
        <v>22.01</v>
      </c>
      <c r="J112" s="327">
        <v>6.6319999999999997</v>
      </c>
      <c r="K112" s="328">
        <f>+I112+J112</f>
        <v>28.642000000000003</v>
      </c>
      <c r="L112" s="327">
        <v>22.01</v>
      </c>
      <c r="M112" s="327">
        <v>6.6319999999999997</v>
      </c>
      <c r="N112" s="328">
        <f>+L112+M112</f>
        <v>28.642000000000003</v>
      </c>
      <c r="O112" s="282"/>
      <c r="P112" s="282"/>
      <c r="Q112" s="39">
        <f t="shared" si="7"/>
        <v>4.992820410450217</v>
      </c>
      <c r="R112" s="39">
        <f>+M112/$M$126*100</f>
        <v>5.7840572126286407</v>
      </c>
      <c r="S112" s="39">
        <f>+N112/$N$126*100</f>
        <v>5.1561405814294687</v>
      </c>
    </row>
    <row r="113" spans="8:19" ht="15.75" thickBot="1">
      <c r="H113" s="527"/>
      <c r="I113" s="329">
        <f t="shared" ref="I113:N113" si="13">+N112</f>
        <v>28.642000000000003</v>
      </c>
      <c r="J113" s="329">
        <f t="shared" si="13"/>
        <v>0</v>
      </c>
      <c r="K113" s="329">
        <f t="shared" si="13"/>
        <v>0</v>
      </c>
      <c r="L113" s="329">
        <f t="shared" si="13"/>
        <v>4.992820410450217</v>
      </c>
      <c r="M113" s="329">
        <f t="shared" si="13"/>
        <v>5.7840572126286407</v>
      </c>
      <c r="N113" s="329">
        <f t="shared" si="13"/>
        <v>5.1561405814294687</v>
      </c>
      <c r="O113" s="282"/>
      <c r="P113" s="282"/>
      <c r="Q113" s="39"/>
      <c r="R113" s="39"/>
      <c r="S113" s="39"/>
    </row>
    <row r="114" spans="8:19">
      <c r="H114" s="526" t="s">
        <v>77</v>
      </c>
      <c r="I114" s="327">
        <v>13.108000000000001</v>
      </c>
      <c r="J114" s="327">
        <v>7.7779999999999996</v>
      </c>
      <c r="K114" s="328">
        <f>+I114+J114</f>
        <v>20.885999999999999</v>
      </c>
      <c r="L114" s="327">
        <v>13.108000000000001</v>
      </c>
      <c r="M114" s="327">
        <v>7.7779999999999996</v>
      </c>
      <c r="N114" s="328">
        <f>+L114+M114</f>
        <v>20.885999999999999</v>
      </c>
      <c r="O114" s="282"/>
      <c r="P114" s="282"/>
      <c r="Q114" s="39">
        <f t="shared" si="7"/>
        <v>2.9734616056420462</v>
      </c>
      <c r="R114" s="39">
        <f>+M114/$M$126*100</f>
        <v>6.7835339263910681</v>
      </c>
      <c r="S114" s="39">
        <f>+N114/$N$126*100</f>
        <v>3.759903365118912</v>
      </c>
    </row>
    <row r="115" spans="8:19" ht="15.75" thickBot="1">
      <c r="H115" s="527"/>
      <c r="I115" s="329">
        <f t="shared" ref="I115:N115" si="14">+N114</f>
        <v>20.885999999999999</v>
      </c>
      <c r="J115" s="329">
        <f t="shared" si="14"/>
        <v>0</v>
      </c>
      <c r="K115" s="329">
        <f t="shared" si="14"/>
        <v>0</v>
      </c>
      <c r="L115" s="329">
        <f t="shared" si="14"/>
        <v>2.9734616056420462</v>
      </c>
      <c r="M115" s="329">
        <f t="shared" si="14"/>
        <v>6.7835339263910681</v>
      </c>
      <c r="N115" s="329">
        <f t="shared" si="14"/>
        <v>3.759903365118912</v>
      </c>
      <c r="O115" s="282"/>
      <c r="P115" s="282"/>
      <c r="Q115" s="39"/>
      <c r="R115" s="39"/>
      <c r="S115" s="39"/>
    </row>
    <row r="116" spans="8:19" ht="24.6" customHeight="1">
      <c r="H116" s="526" t="s">
        <v>78</v>
      </c>
      <c r="I116" s="330">
        <v>33.445</v>
      </c>
      <c r="J116" s="327">
        <v>5.92</v>
      </c>
      <c r="K116" s="328">
        <f>+I116+J116</f>
        <v>39.365000000000002</v>
      </c>
      <c r="L116" s="330">
        <v>33.445</v>
      </c>
      <c r="M116" s="327">
        <v>5.92</v>
      </c>
      <c r="N116" s="328">
        <f>+L116+M116</f>
        <v>39.365000000000002</v>
      </c>
      <c r="O116" s="282"/>
      <c r="P116" s="282"/>
      <c r="Q116" s="39">
        <f t="shared" si="7"/>
        <v>7.5867732225128339</v>
      </c>
      <c r="R116" s="39">
        <f>+M116/$M$126*100</f>
        <v>5.1630908773765904</v>
      </c>
      <c r="S116" s="39">
        <f>+N116/$N$126*100</f>
        <v>7.0864979396680061</v>
      </c>
    </row>
    <row r="117" spans="8:19" ht="15.75" thickBot="1">
      <c r="H117" s="527"/>
      <c r="I117" s="329">
        <f t="shared" ref="I117:N117" si="15">+N116</f>
        <v>39.365000000000002</v>
      </c>
      <c r="J117" s="329">
        <f t="shared" si="15"/>
        <v>0</v>
      </c>
      <c r="K117" s="329">
        <f t="shared" si="15"/>
        <v>0</v>
      </c>
      <c r="L117" s="329">
        <f t="shared" si="15"/>
        <v>7.5867732225128339</v>
      </c>
      <c r="M117" s="329">
        <f t="shared" si="15"/>
        <v>5.1630908773765904</v>
      </c>
      <c r="N117" s="329">
        <f t="shared" si="15"/>
        <v>7.0864979396680061</v>
      </c>
      <c r="O117" s="282"/>
      <c r="P117" s="282"/>
      <c r="Q117" s="39"/>
      <c r="R117" s="39"/>
      <c r="S117" s="39"/>
    </row>
    <row r="118" spans="8:19">
      <c r="H118" s="526" t="s">
        <v>79</v>
      </c>
      <c r="I118" s="330">
        <v>11.013999999999999</v>
      </c>
      <c r="J118" s="330">
        <v>0.72499999999999998</v>
      </c>
      <c r="K118" s="328">
        <f>+I118+J118</f>
        <v>11.738999999999999</v>
      </c>
      <c r="L118" s="330">
        <v>11.013999999999999</v>
      </c>
      <c r="M118" s="330">
        <v>0.72499999999999998</v>
      </c>
      <c r="N118" s="328">
        <f>+L118+M118</f>
        <v>11.738999999999999</v>
      </c>
      <c r="O118" s="282"/>
      <c r="P118" s="282"/>
      <c r="Q118" s="39">
        <f t="shared" si="7"/>
        <v>2.4984517946705442</v>
      </c>
      <c r="R118" s="39">
        <f>+M118/$M$126*100</f>
        <v>0.63230420373277507</v>
      </c>
      <c r="S118" s="39">
        <f>+N118/$N$126*100</f>
        <v>2.11325795284549</v>
      </c>
    </row>
    <row r="119" spans="8:19" ht="15.75" thickBot="1">
      <c r="H119" s="527"/>
      <c r="I119" s="329">
        <f t="shared" ref="I119:N119" si="16">+N118</f>
        <v>11.738999999999999</v>
      </c>
      <c r="J119" s="329">
        <f t="shared" si="16"/>
        <v>0</v>
      </c>
      <c r="K119" s="329">
        <f t="shared" si="16"/>
        <v>0</v>
      </c>
      <c r="L119" s="329">
        <f t="shared" si="16"/>
        <v>2.4984517946705442</v>
      </c>
      <c r="M119" s="329">
        <f t="shared" si="16"/>
        <v>0.63230420373277507</v>
      </c>
      <c r="N119" s="329">
        <f t="shared" si="16"/>
        <v>2.11325795284549</v>
      </c>
      <c r="O119" s="282"/>
      <c r="P119" s="282"/>
      <c r="Q119" s="39"/>
      <c r="R119" s="39"/>
      <c r="S119" s="39"/>
    </row>
    <row r="120" spans="8:19">
      <c r="H120" s="526" t="s">
        <v>80</v>
      </c>
      <c r="I120" s="330">
        <v>58.654000000000003</v>
      </c>
      <c r="J120" s="330">
        <v>3.6789999999999998</v>
      </c>
      <c r="K120" s="328">
        <f>+I120+J120</f>
        <v>62.333000000000006</v>
      </c>
      <c r="L120" s="330">
        <v>58.654000000000003</v>
      </c>
      <c r="M120" s="330">
        <v>3.6789999999999998</v>
      </c>
      <c r="N120" s="328">
        <f>+L120+M120</f>
        <v>62.333000000000006</v>
      </c>
      <c r="O120" s="282"/>
      <c r="P120" s="282"/>
      <c r="Q120" s="39">
        <f t="shared" si="7"/>
        <v>13.305265259179782</v>
      </c>
      <c r="R120" s="39">
        <f>+M120/$M$126*100</f>
        <v>3.2086167800453507</v>
      </c>
      <c r="S120" s="39">
        <f>+N120/$N$126*100</f>
        <v>11.221203507514947</v>
      </c>
    </row>
    <row r="121" spans="8:19" ht="15.75" thickBot="1">
      <c r="H121" s="527"/>
      <c r="I121" s="329">
        <f t="shared" ref="I121:N121" si="17">+N120</f>
        <v>62.333000000000006</v>
      </c>
      <c r="J121" s="329">
        <f t="shared" si="17"/>
        <v>0</v>
      </c>
      <c r="K121" s="329">
        <f t="shared" si="17"/>
        <v>0</v>
      </c>
      <c r="L121" s="329">
        <f t="shared" si="17"/>
        <v>13.305265259179782</v>
      </c>
      <c r="M121" s="329">
        <f t="shared" si="17"/>
        <v>3.2086167800453507</v>
      </c>
      <c r="N121" s="329">
        <f t="shared" si="17"/>
        <v>11.221203507514947</v>
      </c>
      <c r="O121" s="282"/>
      <c r="P121" s="282"/>
      <c r="Q121" s="39"/>
      <c r="R121" s="39"/>
      <c r="S121" s="39"/>
    </row>
    <row r="122" spans="8:19">
      <c r="H122" s="526" t="s">
        <v>81</v>
      </c>
      <c r="I122" s="327">
        <v>40.700000000000003</v>
      </c>
      <c r="J122" s="327">
        <v>18.484000000000002</v>
      </c>
      <c r="K122" s="328">
        <f>+I122+J122</f>
        <v>59.184000000000005</v>
      </c>
      <c r="L122" s="327">
        <v>40.700000000000003</v>
      </c>
      <c r="M122" s="327">
        <v>18.484000000000002</v>
      </c>
      <c r="N122" s="328">
        <f>+L122+M122</f>
        <v>59.184000000000005</v>
      </c>
      <c r="O122" s="282"/>
      <c r="P122" s="282"/>
      <c r="Q122" s="39">
        <f t="shared" si="7"/>
        <v>9.2325211588061702</v>
      </c>
      <c r="R122" s="39">
        <f>+M122/$M$126*100</f>
        <v>16.120704692133263</v>
      </c>
      <c r="S122" s="39">
        <f>+N122/$N$126*100</f>
        <v>10.654319676395561</v>
      </c>
    </row>
    <row r="123" spans="8:19" ht="15.75" thickBot="1">
      <c r="H123" s="527"/>
      <c r="I123" s="329">
        <f t="shared" ref="I123:N123" si="18">+N122</f>
        <v>59.184000000000005</v>
      </c>
      <c r="J123" s="329">
        <f t="shared" si="18"/>
        <v>0</v>
      </c>
      <c r="K123" s="329">
        <f t="shared" si="18"/>
        <v>0</v>
      </c>
      <c r="L123" s="329">
        <f t="shared" si="18"/>
        <v>9.2325211588061702</v>
      </c>
      <c r="M123" s="329">
        <f t="shared" si="18"/>
        <v>16.120704692133263</v>
      </c>
      <c r="N123" s="329">
        <f t="shared" si="18"/>
        <v>10.654319676395561</v>
      </c>
      <c r="O123" s="282"/>
      <c r="P123" s="282"/>
      <c r="Q123" s="39"/>
      <c r="R123" s="39"/>
      <c r="S123" s="39"/>
    </row>
    <row r="124" spans="8:19">
      <c r="H124" s="526" t="s">
        <v>82</v>
      </c>
      <c r="I124" s="330">
        <v>76.638000000000005</v>
      </c>
      <c r="J124" s="330">
        <v>10.367000000000001</v>
      </c>
      <c r="K124" s="328">
        <f>+I124+J124</f>
        <v>87.00500000000001</v>
      </c>
      <c r="L124" s="330">
        <v>76.638000000000005</v>
      </c>
      <c r="M124" s="330">
        <v>10.367000000000001</v>
      </c>
      <c r="N124" s="328">
        <f>+L124+M124</f>
        <v>87.00500000000001</v>
      </c>
      <c r="O124" s="282"/>
      <c r="P124" s="282"/>
      <c r="Q124" s="39">
        <f t="shared" si="7"/>
        <v>17.384814657704847</v>
      </c>
      <c r="R124" s="39">
        <f>+M124/$M$126*100</f>
        <v>9.0415140415140414</v>
      </c>
      <c r="S124" s="39">
        <f>+N124/$N$126*100</f>
        <v>15.662663615923153</v>
      </c>
    </row>
    <row r="125" spans="8:19" ht="15.75" thickBot="1">
      <c r="H125" s="595"/>
      <c r="I125" s="329">
        <f t="shared" ref="I125:N125" si="19">+N124</f>
        <v>87.00500000000001</v>
      </c>
      <c r="J125" s="329">
        <f t="shared" si="19"/>
        <v>0</v>
      </c>
      <c r="K125" s="329">
        <f t="shared" si="19"/>
        <v>0</v>
      </c>
      <c r="L125" s="329">
        <f t="shared" si="19"/>
        <v>17.384814657704847</v>
      </c>
      <c r="M125" s="329">
        <f t="shared" si="19"/>
        <v>9.0415140415140414</v>
      </c>
      <c r="N125" s="329">
        <f t="shared" si="19"/>
        <v>15.662663615923153</v>
      </c>
      <c r="O125" s="282"/>
      <c r="P125" s="282"/>
      <c r="Q125" s="39"/>
      <c r="R125" s="39"/>
      <c r="S125" s="39"/>
    </row>
    <row r="126" spans="8:19">
      <c r="H126" s="596" t="s">
        <v>5</v>
      </c>
      <c r="I126" s="330">
        <f t="shared" ref="I126" si="20">+I100+I102+I104+I106+I108+I110+I112+I114+I116+I118+I120+I122+I124</f>
        <v>440.83299999999997</v>
      </c>
      <c r="J126" s="330">
        <f>+J100+J102+J104+J106+J108+J110+J112+J114+J116+J118+J120+J122+J124</f>
        <v>114.66000000000001</v>
      </c>
      <c r="K126" s="330">
        <f>+K100+K102+K104+K106+K108+K110+K112+K114+K116+K118+K120+K122+K124</f>
        <v>555.49300000000005</v>
      </c>
      <c r="L126" s="330">
        <f t="shared" ref="L126" si="21">+L100+L102+L104+L106+L108+L110+L112+L114+L116+L118+L120+L122+L124</f>
        <v>440.83299999999997</v>
      </c>
      <c r="M126" s="330">
        <f>+M100+M102+M104+M106+M108+M110+M112+M114+M116+M118+M120+M122+M124</f>
        <v>114.66000000000001</v>
      </c>
      <c r="N126" s="330">
        <f>+N100+N102+N104+N106+N108+N110+N112+N114+N116+N118+N120+N122+N124</f>
        <v>555.49300000000005</v>
      </c>
      <c r="O126" s="282"/>
      <c r="P126" s="282"/>
      <c r="Q126" s="39">
        <f t="shared" si="7"/>
        <v>100</v>
      </c>
      <c r="R126" s="39">
        <f>+M126/$M$126*100</f>
        <v>100</v>
      </c>
      <c r="S126" s="39">
        <f>+N126/$N$126*100</f>
        <v>100</v>
      </c>
    </row>
    <row r="127" spans="8:19" ht="15.75" thickBot="1">
      <c r="H127" s="597"/>
      <c r="I127" s="329">
        <f t="shared" ref="I127" si="22">+I101+I103+I105+I107+I109+I111+I113+I115+I117+I119+I121+I123+I125</f>
        <v>545.2475766537442</v>
      </c>
      <c r="J127" s="329">
        <f>+J101+J103+J105+J107+J109+J111+J113+J115+J117+J119+J121+J123+J125</f>
        <v>1.1337868480725624</v>
      </c>
      <c r="K127" s="329">
        <f>+K101+K103+K105+K107+K109+K111+K113+K115+K117+K119+K121+K123+K125</f>
        <v>2.3168608785349232</v>
      </c>
      <c r="L127" s="329">
        <f t="shared" ref="L127" si="23">+L101+L103+L105+L107+L109+L111+L113+L115+L117+L119+L121+L123+L125</f>
        <v>100</v>
      </c>
      <c r="M127" s="329">
        <f>+M101+M103+M105+M107+M109+M111+M113+M115+M117+M119+M121+M123+M125</f>
        <v>99.999999999999972</v>
      </c>
      <c r="N127" s="329">
        <f>+N101+N103+N105+N107+N109+N111+N113+N115+N117+N119+N121+N123+N125</f>
        <v>99.999999999999986</v>
      </c>
      <c r="O127" s="282"/>
      <c r="P127" s="282"/>
      <c r="Q127" s="39"/>
      <c r="R127" s="39"/>
      <c r="S127" s="39"/>
    </row>
    <row r="128" spans="8:19" ht="26.45" customHeight="1" thickBot="1">
      <c r="H128" s="592" t="s">
        <v>83</v>
      </c>
      <c r="I128" s="593"/>
      <c r="J128" s="593"/>
      <c r="K128" s="593"/>
      <c r="L128" s="593"/>
      <c r="M128" s="593"/>
      <c r="N128" s="593"/>
      <c r="O128" s="593"/>
      <c r="P128" s="594"/>
    </row>
    <row r="133" spans="8:18" ht="15.75" thickBot="1"/>
    <row r="134" spans="8:18" ht="16.5" thickBot="1">
      <c r="H134" s="702" t="s">
        <v>283</v>
      </c>
      <c r="I134" s="703"/>
      <c r="J134" s="703"/>
      <c r="K134" s="703"/>
      <c r="L134" s="703"/>
      <c r="M134" s="703"/>
      <c r="N134" s="703"/>
      <c r="O134" s="703"/>
      <c r="P134" s="704"/>
      <c r="Q134" s="204"/>
      <c r="R134" s="204"/>
    </row>
    <row r="135" spans="8:18" ht="39" thickBot="1">
      <c r="H135" s="331" t="s">
        <v>0</v>
      </c>
      <c r="I135" s="332" t="s">
        <v>17</v>
      </c>
      <c r="J135" s="332" t="s">
        <v>18</v>
      </c>
      <c r="K135" s="332" t="s">
        <v>19</v>
      </c>
      <c r="L135" s="332" t="s">
        <v>1</v>
      </c>
      <c r="M135" s="332" t="s">
        <v>20</v>
      </c>
      <c r="N135" s="332" t="s">
        <v>21</v>
      </c>
      <c r="O135" s="332" t="s">
        <v>4</v>
      </c>
      <c r="P135" s="332" t="s">
        <v>5</v>
      </c>
    </row>
    <row r="136" spans="8:18">
      <c r="H136" s="574" t="s">
        <v>6</v>
      </c>
      <c r="I136" s="333">
        <v>122.16</v>
      </c>
      <c r="J136" s="333">
        <v>2.86</v>
      </c>
      <c r="K136" s="333">
        <v>8.94</v>
      </c>
      <c r="L136" s="333">
        <v>58.85</v>
      </c>
      <c r="M136" s="333">
        <v>54.9</v>
      </c>
      <c r="N136" s="333">
        <v>6.84</v>
      </c>
      <c r="O136" s="333">
        <v>90.25</v>
      </c>
      <c r="P136" s="333">
        <v>344.8</v>
      </c>
    </row>
    <row r="137" spans="8:18" ht="15.75" thickBot="1">
      <c r="H137" s="575"/>
      <c r="I137" s="334" t="s">
        <v>22</v>
      </c>
      <c r="J137" s="334" t="s">
        <v>23</v>
      </c>
      <c r="K137" s="334" t="s">
        <v>24</v>
      </c>
      <c r="L137" s="334" t="s">
        <v>25</v>
      </c>
      <c r="M137" s="334" t="s">
        <v>26</v>
      </c>
      <c r="N137" s="334" t="s">
        <v>27</v>
      </c>
      <c r="O137" s="334" t="s">
        <v>28</v>
      </c>
      <c r="P137" s="334" t="s">
        <v>29</v>
      </c>
    </row>
    <row r="138" spans="8:18">
      <c r="H138" s="574" t="s">
        <v>7</v>
      </c>
      <c r="I138" s="333">
        <v>126.44</v>
      </c>
      <c r="J138" s="333">
        <v>3.85</v>
      </c>
      <c r="K138" s="333">
        <v>10.67</v>
      </c>
      <c r="L138" s="333">
        <v>76.2</v>
      </c>
      <c r="M138" s="333">
        <v>60.65</v>
      </c>
      <c r="N138" s="333">
        <v>3.84</v>
      </c>
      <c r="O138" s="333">
        <v>102.11</v>
      </c>
      <c r="P138" s="333">
        <v>383.76</v>
      </c>
    </row>
    <row r="139" spans="8:18" ht="15.75" thickBot="1">
      <c r="H139" s="575"/>
      <c r="I139" s="334">
        <v>-3.5</v>
      </c>
      <c r="J139" s="334">
        <v>-34.619999999999997</v>
      </c>
      <c r="K139" s="334">
        <v>-19.350000000000001</v>
      </c>
      <c r="L139" s="334">
        <v>-29.48</v>
      </c>
      <c r="M139" s="334">
        <v>-10.47</v>
      </c>
      <c r="N139" s="334">
        <f>-(43.86)</f>
        <v>-43.86</v>
      </c>
      <c r="O139" s="334">
        <v>-13.14</v>
      </c>
      <c r="P139" s="334">
        <v>-11.3</v>
      </c>
    </row>
    <row r="140" spans="8:18">
      <c r="H140" s="574" t="s">
        <v>8</v>
      </c>
      <c r="I140" s="333">
        <v>142.09</v>
      </c>
      <c r="J140" s="333">
        <v>6.62</v>
      </c>
      <c r="K140" s="333">
        <v>10.68</v>
      </c>
      <c r="L140" s="333">
        <v>79.22</v>
      </c>
      <c r="M140" s="333">
        <v>68.83</v>
      </c>
      <c r="N140" s="333">
        <v>2.13</v>
      </c>
      <c r="O140" s="333">
        <v>114</v>
      </c>
      <c r="P140" s="333">
        <v>423.57</v>
      </c>
    </row>
    <row r="141" spans="8:18" ht="15.75" thickBot="1">
      <c r="H141" s="575"/>
      <c r="I141" s="334">
        <v>-12.38</v>
      </c>
      <c r="J141" s="334">
        <v>-71.95</v>
      </c>
      <c r="K141" s="334">
        <v>-0.09</v>
      </c>
      <c r="L141" s="334">
        <v>-3.96</v>
      </c>
      <c r="M141" s="334">
        <v>-13.49</v>
      </c>
      <c r="N141" s="334">
        <f>-(44.53)</f>
        <v>-44.53</v>
      </c>
      <c r="O141" s="334">
        <v>-11.64</v>
      </c>
      <c r="P141" s="334">
        <v>-10.37</v>
      </c>
    </row>
    <row r="142" spans="8:18">
      <c r="H142" s="574" t="s">
        <v>9</v>
      </c>
      <c r="I142" s="333">
        <v>145.88</v>
      </c>
      <c r="J142" s="333">
        <v>7.93</v>
      </c>
      <c r="K142" s="333">
        <v>11.14</v>
      </c>
      <c r="L142" s="333">
        <v>80.58</v>
      </c>
      <c r="M142" s="333">
        <v>64.63</v>
      </c>
      <c r="N142" s="333">
        <v>4.93</v>
      </c>
      <c r="O142" s="333">
        <v>148.69</v>
      </c>
      <c r="P142" s="333">
        <v>463.78</v>
      </c>
    </row>
    <row r="143" spans="8:18" ht="15.75" thickBot="1">
      <c r="H143" s="575"/>
      <c r="I143" s="334">
        <v>-2.67</v>
      </c>
      <c r="J143" s="334">
        <v>-19.79</v>
      </c>
      <c r="K143" s="334">
        <v>-4.3099999999999996</v>
      </c>
      <c r="L143" s="334">
        <v>-1.72</v>
      </c>
      <c r="M143" s="334">
        <f>-(6.1)</f>
        <v>-6.1</v>
      </c>
      <c r="N143" s="334">
        <v>-131.46</v>
      </c>
      <c r="O143" s="334">
        <v>-30.43</v>
      </c>
      <c r="P143" s="334">
        <v>-9.49</v>
      </c>
    </row>
    <row r="144" spans="8:18">
      <c r="H144" s="574" t="s">
        <v>10</v>
      </c>
      <c r="I144" s="333">
        <v>167.44</v>
      </c>
      <c r="J144" s="333">
        <v>11.87</v>
      </c>
      <c r="K144" s="333">
        <v>6.41</v>
      </c>
      <c r="L144" s="333">
        <v>92.3</v>
      </c>
      <c r="M144" s="333">
        <v>68.67</v>
      </c>
      <c r="N144" s="333">
        <v>2.99</v>
      </c>
      <c r="O144" s="333">
        <v>169.65</v>
      </c>
      <c r="P144" s="333">
        <v>519.30999999999995</v>
      </c>
    </row>
    <row r="145" spans="8:18" ht="15.75" thickBot="1">
      <c r="H145" s="575"/>
      <c r="I145" s="334">
        <v>-14.78</v>
      </c>
      <c r="J145" s="334">
        <v>-49.68</v>
      </c>
      <c r="K145" s="334">
        <f>-(42.46)</f>
        <v>-42.46</v>
      </c>
      <c r="L145" s="334">
        <v>-14.54</v>
      </c>
      <c r="M145" s="334">
        <v>-6.25</v>
      </c>
      <c r="N145" s="334">
        <f>-(39.35)</f>
        <v>-39.35</v>
      </c>
      <c r="O145" s="334">
        <v>-14.1</v>
      </c>
      <c r="P145" s="334">
        <v>-11.97</v>
      </c>
    </row>
    <row r="146" spans="8:18">
      <c r="H146" s="574" t="s">
        <v>11</v>
      </c>
      <c r="I146" s="333">
        <v>174.2</v>
      </c>
      <c r="J146" s="333">
        <v>12.17</v>
      </c>
      <c r="K146" s="333">
        <v>6.11</v>
      </c>
      <c r="L146" s="333">
        <v>92.67</v>
      </c>
      <c r="M146" s="333">
        <v>76.930000000000007</v>
      </c>
      <c r="N146" s="333">
        <v>2.4</v>
      </c>
      <c r="O146" s="333">
        <v>166.33</v>
      </c>
      <c r="P146" s="333">
        <v>530.79999999999995</v>
      </c>
    </row>
    <row r="147" spans="8:18" ht="15.75" thickBot="1">
      <c r="H147" s="575"/>
      <c r="I147" s="334">
        <v>-4.04</v>
      </c>
      <c r="J147" s="334">
        <v>-2.5299999999999998</v>
      </c>
      <c r="K147" s="334">
        <f>-(4.68)</f>
        <v>-4.68</v>
      </c>
      <c r="L147" s="334">
        <v>-0.4</v>
      </c>
      <c r="M147" s="334">
        <v>-12.03</v>
      </c>
      <c r="N147" s="334">
        <f>-(19.73)</f>
        <v>-19.73</v>
      </c>
      <c r="O147" s="334">
        <f>-(1.96)</f>
        <v>-1.96</v>
      </c>
      <c r="P147" s="334">
        <v>-2.21</v>
      </c>
    </row>
    <row r="148" spans="8:18">
      <c r="H148" s="574" t="s">
        <v>12</v>
      </c>
      <c r="I148" s="333">
        <v>174.86</v>
      </c>
      <c r="J148" s="333">
        <v>10.94</v>
      </c>
      <c r="K148" s="333">
        <v>6.79</v>
      </c>
      <c r="L148" s="333">
        <v>100.89</v>
      </c>
      <c r="M148" s="333">
        <v>71.790000000000006</v>
      </c>
      <c r="N148" s="333">
        <v>1.2</v>
      </c>
      <c r="O148" s="333">
        <v>194.62</v>
      </c>
      <c r="P148" s="333">
        <v>561.09</v>
      </c>
    </row>
    <row r="149" spans="8:18" ht="15.75" thickBot="1">
      <c r="H149" s="575"/>
      <c r="I149" s="334">
        <v>-0.38</v>
      </c>
      <c r="J149" s="334">
        <f>-(10.11)</f>
        <v>-10.11</v>
      </c>
      <c r="K149" s="334">
        <v>-11.13</v>
      </c>
      <c r="L149" s="334">
        <v>-8.8699999999999992</v>
      </c>
      <c r="M149" s="334">
        <f>-(6.68)</f>
        <v>-6.68</v>
      </c>
      <c r="N149" s="334">
        <f>-(50)</f>
        <v>-50</v>
      </c>
      <c r="O149" s="334">
        <v>-17.010000000000002</v>
      </c>
      <c r="P149" s="334">
        <v>-5.71</v>
      </c>
    </row>
    <row r="150" spans="8:18">
      <c r="H150" s="574" t="s">
        <v>13</v>
      </c>
      <c r="I150" s="333">
        <v>179.88</v>
      </c>
      <c r="J150" s="333">
        <v>12.37</v>
      </c>
      <c r="K150" s="333">
        <v>8.43</v>
      </c>
      <c r="L150" s="333">
        <v>87.69</v>
      </c>
      <c r="M150" s="333">
        <v>75.150000000000006</v>
      </c>
      <c r="N150" s="333">
        <v>1.92</v>
      </c>
      <c r="O150" s="333">
        <v>204.65</v>
      </c>
      <c r="P150" s="333">
        <v>570.09</v>
      </c>
    </row>
    <row r="151" spans="8:18" ht="15.75" thickBot="1">
      <c r="H151" s="575"/>
      <c r="I151" s="334">
        <v>-2.87</v>
      </c>
      <c r="J151" s="334">
        <v>-13.07</v>
      </c>
      <c r="K151" s="334">
        <v>-24.15</v>
      </c>
      <c r="L151" s="334">
        <f>-(13.08)</f>
        <v>-13.08</v>
      </c>
      <c r="M151" s="334">
        <v>-4.68</v>
      </c>
      <c r="N151" s="334">
        <v>-60</v>
      </c>
      <c r="O151" s="334">
        <v>-5.15</v>
      </c>
      <c r="P151" s="334">
        <v>-1.6</v>
      </c>
    </row>
    <row r="152" spans="8:18">
      <c r="H152" s="574" t="s">
        <v>14</v>
      </c>
      <c r="I152" s="333">
        <v>173.85</v>
      </c>
      <c r="J152" s="333">
        <v>12.22</v>
      </c>
      <c r="K152" s="333">
        <v>8.18</v>
      </c>
      <c r="L152" s="333">
        <v>60.72</v>
      </c>
      <c r="M152" s="333">
        <v>78.78</v>
      </c>
      <c r="N152" s="333">
        <v>3.28</v>
      </c>
      <c r="O152" s="333">
        <v>223.16</v>
      </c>
      <c r="P152" s="333">
        <v>560.19000000000005</v>
      </c>
    </row>
    <row r="153" spans="8:18" ht="15.75" thickBot="1">
      <c r="H153" s="575"/>
      <c r="I153" s="334">
        <f>-(3.35)</f>
        <v>-3.35</v>
      </c>
      <c r="J153" s="334">
        <f>-(1.21)</f>
        <v>-1.21</v>
      </c>
      <c r="K153" s="334">
        <f>-(2.97)</f>
        <v>-2.97</v>
      </c>
      <c r="L153" s="334">
        <f>-(30.76)</f>
        <v>-30.76</v>
      </c>
      <c r="M153" s="334">
        <v>-4.83</v>
      </c>
      <c r="N153" s="334">
        <v>-70.83</v>
      </c>
      <c r="O153" s="334">
        <v>-9.0399999999999991</v>
      </c>
      <c r="P153" s="334">
        <f>-(1.74)</f>
        <v>-1.74</v>
      </c>
    </row>
    <row r="154" spans="8:18">
      <c r="H154" s="574" t="s">
        <v>15</v>
      </c>
      <c r="I154" s="333">
        <v>180.73</v>
      </c>
      <c r="J154" s="333">
        <v>7.47</v>
      </c>
      <c r="K154" s="333">
        <v>7.33</v>
      </c>
      <c r="L154" s="333">
        <v>27.29</v>
      </c>
      <c r="M154" s="335">
        <v>86.8</v>
      </c>
      <c r="N154" s="335">
        <v>6.6</v>
      </c>
      <c r="O154" s="333">
        <v>229.61</v>
      </c>
      <c r="P154" s="333">
        <v>545.83000000000004</v>
      </c>
    </row>
    <row r="155" spans="8:18" ht="15.75" thickBot="1">
      <c r="H155" s="576"/>
      <c r="I155" s="333">
        <v>-3.96</v>
      </c>
      <c r="J155" s="333">
        <f>-(38.87)</f>
        <v>-38.869999999999997</v>
      </c>
      <c r="K155" s="333">
        <f>-(10.39)</f>
        <v>-10.39</v>
      </c>
      <c r="L155" s="333">
        <f>-(55.06)</f>
        <v>-55.06</v>
      </c>
      <c r="M155" s="333">
        <v>-10.18</v>
      </c>
      <c r="N155" s="333">
        <v>-101.22</v>
      </c>
      <c r="O155" s="333">
        <v>-2.89</v>
      </c>
      <c r="P155" s="333">
        <f>-(2.56)</f>
        <v>-2.56</v>
      </c>
    </row>
    <row r="156" spans="8:18">
      <c r="H156" s="577" t="s">
        <v>64</v>
      </c>
      <c r="I156" s="336">
        <v>181.06</v>
      </c>
      <c r="J156" s="336">
        <v>6.15</v>
      </c>
      <c r="K156" s="336">
        <v>7.64</v>
      </c>
      <c r="L156" s="336">
        <v>24.62</v>
      </c>
      <c r="M156" s="336">
        <v>104.27</v>
      </c>
      <c r="N156" s="337">
        <v>4.79</v>
      </c>
      <c r="O156" s="336">
        <v>226.96</v>
      </c>
      <c r="P156" s="336">
        <v>555.49</v>
      </c>
    </row>
    <row r="157" spans="8:18" ht="15.75" thickBot="1">
      <c r="H157" s="578"/>
      <c r="I157" s="338">
        <f>+(I156-I154)/I154*100</f>
        <v>0.18259281801583163</v>
      </c>
      <c r="J157" s="338">
        <f t="shared" ref="J157:L157" si="24">+(J156-J154)/J154*100</f>
        <v>-17.670682730923687</v>
      </c>
      <c r="K157" s="338">
        <f t="shared" si="24"/>
        <v>4.2291950886766658</v>
      </c>
      <c r="L157" s="338">
        <f t="shared" si="24"/>
        <v>-9.7838035910589891</v>
      </c>
      <c r="M157" s="338">
        <f>+(M156-M154)/M154*100</f>
        <v>20.126728110599075</v>
      </c>
      <c r="N157" s="338">
        <f>+(N156-N154)/N154*100</f>
        <v>-27.424242424242419</v>
      </c>
      <c r="O157" s="338">
        <f>+(O156-O154)/O154*100</f>
        <v>-1.1541309176429622</v>
      </c>
      <c r="P157" s="338">
        <f>+(P156-P154)/P154*100</f>
        <v>1.7697818001941936</v>
      </c>
    </row>
    <row r="158" spans="8:18" ht="15.75" thickBot="1">
      <c r="H158" s="705" t="s">
        <v>30</v>
      </c>
      <c r="I158" s="706"/>
      <c r="J158" s="706"/>
      <c r="K158" s="706"/>
      <c r="L158" s="706"/>
      <c r="M158" s="706"/>
      <c r="N158" s="706"/>
      <c r="O158" s="706"/>
      <c r="P158" s="707"/>
      <c r="Q158" s="205"/>
      <c r="R158" s="205"/>
    </row>
    <row r="163" spans="8:16" ht="15.75" thickBot="1"/>
    <row r="164" spans="8:16" ht="27.6" customHeight="1" thickBot="1">
      <c r="H164" s="478" t="s">
        <v>84</v>
      </c>
      <c r="I164" s="479"/>
      <c r="J164" s="479"/>
      <c r="K164" s="479"/>
      <c r="L164" s="480"/>
      <c r="M164" s="141"/>
      <c r="N164" s="5"/>
      <c r="O164" s="5"/>
    </row>
    <row r="165" spans="8:16" ht="15" customHeight="1" thickBot="1">
      <c r="H165" s="481" t="s">
        <v>85</v>
      </c>
      <c r="I165" s="483" t="s">
        <v>64</v>
      </c>
      <c r="J165" s="484"/>
      <c r="K165" s="485" t="s">
        <v>198</v>
      </c>
      <c r="L165" s="486"/>
      <c r="M165" s="16"/>
      <c r="N165" s="5"/>
      <c r="O165" s="5"/>
    </row>
    <row r="166" spans="8:16" ht="28.5" thickBot="1">
      <c r="H166" s="482"/>
      <c r="I166" s="41" t="s">
        <v>86</v>
      </c>
      <c r="J166" s="165" t="s">
        <v>87</v>
      </c>
      <c r="K166" s="41" t="s">
        <v>86</v>
      </c>
      <c r="L166" s="165" t="s">
        <v>87</v>
      </c>
      <c r="M166" s="142"/>
      <c r="N166" s="5"/>
      <c r="O166" s="5"/>
    </row>
    <row r="167" spans="8:16" ht="27.75" thickBot="1">
      <c r="H167" s="42" t="s">
        <v>70</v>
      </c>
      <c r="I167" s="147">
        <v>7063</v>
      </c>
      <c r="J167" s="166">
        <v>449</v>
      </c>
      <c r="K167" s="180">
        <v>8110</v>
      </c>
      <c r="L167" s="181">
        <v>528</v>
      </c>
      <c r="M167" s="143" t="s">
        <v>250</v>
      </c>
      <c r="N167" s="397">
        <f>+K167/$K$179*100</f>
        <v>6.7899632454517285</v>
      </c>
      <c r="O167" s="143" t="s">
        <v>250</v>
      </c>
      <c r="P167" s="397">
        <f>+L167/$L$179*100</f>
        <v>6.6331658291457289</v>
      </c>
    </row>
    <row r="168" spans="8:16" ht="27.75" thickBot="1">
      <c r="H168" s="42" t="s">
        <v>88</v>
      </c>
      <c r="I168" s="147">
        <v>2230</v>
      </c>
      <c r="J168" s="167">
        <v>113</v>
      </c>
      <c r="K168" s="180">
        <v>1958</v>
      </c>
      <c r="L168" s="182">
        <v>102</v>
      </c>
      <c r="M168" s="143" t="s">
        <v>251</v>
      </c>
      <c r="N168" s="397">
        <f t="shared" ref="N168:N179" si="25">+K168/$K$179*100</f>
        <v>1.6393030868797149</v>
      </c>
      <c r="O168" s="143" t="s">
        <v>251</v>
      </c>
      <c r="P168" s="397">
        <f t="shared" ref="P168:P179" si="26">+L168/$L$179*100</f>
        <v>1.2814070351758795</v>
      </c>
    </row>
    <row r="169" spans="8:16" ht="15.75" thickBot="1">
      <c r="H169" s="42" t="s">
        <v>72</v>
      </c>
      <c r="I169" s="147">
        <v>99</v>
      </c>
      <c r="J169" s="167">
        <v>9</v>
      </c>
      <c r="K169" s="180">
        <v>67</v>
      </c>
      <c r="L169" s="182">
        <v>4</v>
      </c>
      <c r="M169" s="143" t="s">
        <v>252</v>
      </c>
      <c r="N169" s="397">
        <f t="shared" si="25"/>
        <v>5.6094640868713429E-2</v>
      </c>
      <c r="O169" s="143" t="s">
        <v>252</v>
      </c>
      <c r="P169" s="397">
        <f t="shared" si="26"/>
        <v>5.0251256281407038E-2</v>
      </c>
    </row>
    <row r="170" spans="8:16" ht="20.45" customHeight="1" thickBot="1">
      <c r="H170" s="42" t="s">
        <v>89</v>
      </c>
      <c r="I170" s="147">
        <v>4916</v>
      </c>
      <c r="J170" s="167">
        <v>262</v>
      </c>
      <c r="K170" s="180">
        <v>4372</v>
      </c>
      <c r="L170" s="182">
        <v>248</v>
      </c>
      <c r="M170" s="143" t="s">
        <v>253</v>
      </c>
      <c r="N170" s="397">
        <f t="shared" si="25"/>
        <v>3.6603846250450012</v>
      </c>
      <c r="O170" s="143" t="s">
        <v>253</v>
      </c>
      <c r="P170" s="397">
        <f t="shared" si="26"/>
        <v>3.1155778894472363</v>
      </c>
    </row>
    <row r="171" spans="8:16" ht="15.75" thickBot="1">
      <c r="H171" s="42" t="s">
        <v>74</v>
      </c>
      <c r="I171" s="147">
        <v>28330</v>
      </c>
      <c r="J171" s="167">
        <v>1468</v>
      </c>
      <c r="K171" s="180">
        <v>29945</v>
      </c>
      <c r="L171" s="182">
        <v>1552</v>
      </c>
      <c r="M171" s="143" t="s">
        <v>254</v>
      </c>
      <c r="N171" s="397">
        <f t="shared" si="25"/>
        <v>25.070955534531691</v>
      </c>
      <c r="O171" s="143" t="s">
        <v>254</v>
      </c>
      <c r="P171" s="397">
        <f t="shared" si="26"/>
        <v>19.497487437185928</v>
      </c>
    </row>
    <row r="172" spans="8:16" ht="15.75" thickBot="1">
      <c r="H172" s="42" t="s">
        <v>76</v>
      </c>
      <c r="I172" s="147">
        <v>10129</v>
      </c>
      <c r="J172" s="167">
        <v>508</v>
      </c>
      <c r="K172" s="180">
        <v>11034</v>
      </c>
      <c r="L172" s="182">
        <v>560</v>
      </c>
      <c r="M172" s="143" t="s">
        <v>255</v>
      </c>
      <c r="N172" s="397">
        <f t="shared" si="25"/>
        <v>9.2380338409758789</v>
      </c>
      <c r="O172" s="143" t="s">
        <v>255</v>
      </c>
      <c r="P172" s="397">
        <f t="shared" si="26"/>
        <v>7.0351758793969852</v>
      </c>
    </row>
    <row r="173" spans="8:16" ht="15.75" thickBot="1">
      <c r="H173" s="42" t="s">
        <v>90</v>
      </c>
      <c r="I173" s="147">
        <v>4785</v>
      </c>
      <c r="J173" s="167">
        <v>343</v>
      </c>
      <c r="K173" s="180">
        <v>5246</v>
      </c>
      <c r="L173" s="182">
        <v>366</v>
      </c>
      <c r="M173" s="143" t="s">
        <v>256</v>
      </c>
      <c r="N173" s="397">
        <f t="shared" si="25"/>
        <v>4.3921266566756811</v>
      </c>
      <c r="O173" s="143" t="s">
        <v>256</v>
      </c>
      <c r="P173" s="397">
        <f t="shared" si="26"/>
        <v>4.5979899497487438</v>
      </c>
    </row>
    <row r="174" spans="8:16" ht="19.899999999999999" customHeight="1" thickBot="1">
      <c r="H174" s="42" t="s">
        <v>91</v>
      </c>
      <c r="I174" s="147">
        <v>747</v>
      </c>
      <c r="J174" s="167">
        <v>50</v>
      </c>
      <c r="K174" s="180">
        <v>920</v>
      </c>
      <c r="L174" s="182">
        <v>63</v>
      </c>
      <c r="M174" s="143" t="s">
        <v>257</v>
      </c>
      <c r="N174" s="397">
        <f t="shared" si="25"/>
        <v>0.7702547701375575</v>
      </c>
      <c r="O174" s="143" t="s">
        <v>257</v>
      </c>
      <c r="P174" s="397">
        <f t="shared" si="26"/>
        <v>0.79145728643216073</v>
      </c>
    </row>
    <row r="175" spans="8:16" ht="15.75" thickBot="1">
      <c r="H175" s="42" t="s">
        <v>79</v>
      </c>
      <c r="I175" s="147">
        <v>236</v>
      </c>
      <c r="J175" s="167">
        <v>19</v>
      </c>
      <c r="K175" s="180">
        <v>312</v>
      </c>
      <c r="L175" s="182">
        <v>25</v>
      </c>
      <c r="M175" s="143" t="s">
        <v>258</v>
      </c>
      <c r="N175" s="397">
        <f t="shared" si="25"/>
        <v>0.26121683509012816</v>
      </c>
      <c r="O175" s="143" t="s">
        <v>258</v>
      </c>
      <c r="P175" s="397">
        <f t="shared" si="26"/>
        <v>0.314070351758794</v>
      </c>
    </row>
    <row r="176" spans="8:16" ht="15.75" thickBot="1">
      <c r="H176" s="42" t="s">
        <v>80</v>
      </c>
      <c r="I176" s="147">
        <v>55235</v>
      </c>
      <c r="J176" s="167">
        <v>4162</v>
      </c>
      <c r="K176" s="180">
        <v>56933</v>
      </c>
      <c r="L176" s="182">
        <v>4467</v>
      </c>
      <c r="M176" s="143" t="s">
        <v>259</v>
      </c>
      <c r="N176" s="397">
        <f t="shared" si="25"/>
        <v>47.666211769827783</v>
      </c>
      <c r="O176" s="143" t="s">
        <v>259</v>
      </c>
      <c r="P176" s="397">
        <f t="shared" si="26"/>
        <v>56.118090452261306</v>
      </c>
    </row>
    <row r="177" spans="2:16" ht="15.75" thickBot="1">
      <c r="H177" s="42" t="s">
        <v>81</v>
      </c>
      <c r="I177" s="147">
        <v>449</v>
      </c>
      <c r="J177" s="167">
        <v>41</v>
      </c>
      <c r="K177" s="183">
        <v>544</v>
      </c>
      <c r="L177" s="182">
        <v>45</v>
      </c>
      <c r="M177" s="143" t="s">
        <v>260</v>
      </c>
      <c r="N177" s="397">
        <f t="shared" si="25"/>
        <v>0.45545499451612093</v>
      </c>
      <c r="O177" s="143" t="s">
        <v>260</v>
      </c>
      <c r="P177" s="397">
        <f t="shared" si="26"/>
        <v>0.56532663316582921</v>
      </c>
    </row>
    <row r="178" spans="2:16" ht="15.75" thickBot="1">
      <c r="H178" s="44" t="s">
        <v>82</v>
      </c>
      <c r="I178" s="148">
        <v>453</v>
      </c>
      <c r="J178" s="168">
        <v>29</v>
      </c>
      <c r="K178" s="206">
        <v>0</v>
      </c>
      <c r="L178" s="184">
        <v>0</v>
      </c>
      <c r="M178" s="143" t="s">
        <v>261</v>
      </c>
      <c r="N178" s="397">
        <f t="shared" si="25"/>
        <v>0</v>
      </c>
      <c r="O178" s="143" t="s">
        <v>261</v>
      </c>
      <c r="P178" s="397">
        <f t="shared" si="26"/>
        <v>0</v>
      </c>
    </row>
    <row r="179" spans="2:16" ht="15.75" thickBot="1">
      <c r="H179" s="207" t="s">
        <v>92</v>
      </c>
      <c r="I179" s="208">
        <f>SUM(I167:I178)</f>
        <v>114672</v>
      </c>
      <c r="J179" s="209">
        <v>7453</v>
      </c>
      <c r="K179" s="210">
        <f>SUM(K167:K178)</f>
        <v>119441</v>
      </c>
      <c r="L179" s="211">
        <f>SUM(L167:L178)</f>
        <v>7960</v>
      </c>
      <c r="M179" s="144"/>
      <c r="N179" s="155">
        <f t="shared" si="25"/>
        <v>100</v>
      </c>
      <c r="O179" s="45"/>
      <c r="P179" s="155">
        <f t="shared" si="26"/>
        <v>100</v>
      </c>
    </row>
    <row r="180" spans="2:16" ht="14.45" customHeight="1">
      <c r="H180" s="144"/>
      <c r="I180" s="144"/>
      <c r="J180" s="144"/>
      <c r="K180" s="144"/>
      <c r="L180" s="144"/>
      <c r="M180" s="144"/>
      <c r="N180" s="5"/>
      <c r="O180" s="5"/>
    </row>
    <row r="181" spans="2:16">
      <c r="H181" s="144"/>
      <c r="I181" s="144"/>
      <c r="J181" s="144"/>
      <c r="K181" s="144"/>
      <c r="L181" s="144"/>
      <c r="M181" s="144"/>
      <c r="N181" s="5"/>
      <c r="O181" s="5"/>
    </row>
    <row r="185" spans="2:16" ht="31.15" customHeight="1" thickBot="1">
      <c r="H185" s="585"/>
      <c r="I185" s="585"/>
      <c r="J185" s="585"/>
      <c r="K185" s="585"/>
    </row>
    <row r="186" spans="2:16" ht="36.6" customHeight="1" thickBot="1">
      <c r="B186" s="629" t="s">
        <v>266</v>
      </c>
      <c r="C186" s="630"/>
      <c r="D186" s="630"/>
      <c r="E186" s="631"/>
      <c r="H186" s="169"/>
      <c r="I186" s="169"/>
      <c r="J186" s="169"/>
      <c r="K186" s="169"/>
    </row>
    <row r="187" spans="2:16" ht="48" thickBot="1">
      <c r="B187" s="46" t="s">
        <v>85</v>
      </c>
      <c r="C187" s="164" t="s">
        <v>93</v>
      </c>
      <c r="D187" s="164" t="s">
        <v>94</v>
      </c>
      <c r="E187" s="164" t="s">
        <v>95</v>
      </c>
      <c r="H187" s="170"/>
      <c r="I187" s="171"/>
      <c r="J187" s="171"/>
      <c r="K187" s="171"/>
      <c r="L187" s="38"/>
      <c r="M187" s="38"/>
    </row>
    <row r="188" spans="2:16" ht="15.75" thickBot="1">
      <c r="B188" s="47" t="s">
        <v>70</v>
      </c>
      <c r="C188" s="48">
        <v>21.1</v>
      </c>
      <c r="D188" s="50">
        <v>15.282999999999999</v>
      </c>
      <c r="E188" s="50">
        <f>+D188/C188%</f>
        <v>72.431279620853076</v>
      </c>
      <c r="F188" s="38">
        <f>+D188/C188%</f>
        <v>72.431279620853076</v>
      </c>
      <c r="H188" s="170"/>
      <c r="I188" s="171"/>
      <c r="J188" s="171"/>
      <c r="K188" s="171"/>
      <c r="L188" s="38"/>
      <c r="M188" s="38"/>
    </row>
    <row r="189" spans="2:16" ht="30.75" thickBot="1">
      <c r="B189" s="47" t="s">
        <v>88</v>
      </c>
      <c r="C189" s="48">
        <v>49.75</v>
      </c>
      <c r="D189" s="50">
        <v>31.01</v>
      </c>
      <c r="E189" s="50">
        <f t="shared" ref="E189:E201" si="27">+D189/C189%</f>
        <v>62.331658291457288</v>
      </c>
      <c r="F189" s="38">
        <f t="shared" ref="F189:F201" si="28">+D189/C189%</f>
        <v>62.331658291457288</v>
      </c>
      <c r="H189" s="170"/>
      <c r="I189" s="171"/>
      <c r="J189" s="171"/>
      <c r="K189" s="171"/>
      <c r="L189" s="38"/>
      <c r="M189" s="38"/>
    </row>
    <row r="190" spans="2:16" ht="15.75" thickBot="1">
      <c r="B190" s="47" t="s">
        <v>72</v>
      </c>
      <c r="C190" s="48">
        <v>119.8</v>
      </c>
      <c r="D190" s="50">
        <v>71.001000000000005</v>
      </c>
      <c r="E190" s="50">
        <f t="shared" si="27"/>
        <v>59.266277128547586</v>
      </c>
      <c r="F190" s="38">
        <f t="shared" si="28"/>
        <v>59.266277128547586</v>
      </c>
      <c r="H190" s="170"/>
      <c r="I190" s="171"/>
      <c r="J190" s="171"/>
      <c r="K190" s="171"/>
      <c r="L190" s="38"/>
      <c r="M190" s="38"/>
    </row>
    <row r="191" spans="2:16" ht="15.75" thickBot="1">
      <c r="B191" s="47" t="s">
        <v>73</v>
      </c>
      <c r="C191" s="48">
        <v>96.76</v>
      </c>
      <c r="D191" s="50">
        <v>58.003999999999998</v>
      </c>
      <c r="E191" s="50">
        <f t="shared" si="27"/>
        <v>59.94625878462174</v>
      </c>
      <c r="F191" s="38">
        <f t="shared" si="28"/>
        <v>59.94625878462174</v>
      </c>
      <c r="H191" s="170"/>
      <c r="I191" s="172"/>
      <c r="J191" s="171"/>
      <c r="K191" s="171"/>
      <c r="L191" s="38"/>
      <c r="M191" s="38"/>
    </row>
    <row r="192" spans="2:16" ht="15.75" thickBot="1">
      <c r="B192" s="47" t="s">
        <v>75</v>
      </c>
      <c r="C192" s="50">
        <v>37</v>
      </c>
      <c r="D192" s="50">
        <v>30.251000000000001</v>
      </c>
      <c r="E192" s="50">
        <f t="shared" si="27"/>
        <v>81.759459459459464</v>
      </c>
      <c r="F192" s="38">
        <f t="shared" si="28"/>
        <v>81.759459459459464</v>
      </c>
      <c r="H192" s="170"/>
      <c r="I192" s="171"/>
      <c r="J192" s="171"/>
      <c r="K192" s="171"/>
      <c r="L192" s="38"/>
      <c r="M192" s="38"/>
    </row>
    <row r="193" spans="2:13" ht="15.75" thickBot="1">
      <c r="B193" s="47" t="s">
        <v>74</v>
      </c>
      <c r="C193" s="48">
        <v>86.04</v>
      </c>
      <c r="D193" s="50">
        <v>52.540999999999997</v>
      </c>
      <c r="E193" s="50">
        <f t="shared" si="27"/>
        <v>61.065783356578329</v>
      </c>
      <c r="F193" s="38">
        <f t="shared" si="28"/>
        <v>61.065783356578329</v>
      </c>
      <c r="H193" s="170"/>
      <c r="I193" s="171"/>
      <c r="J193" s="171"/>
      <c r="K193" s="171"/>
      <c r="L193" s="38"/>
      <c r="M193" s="38"/>
    </row>
    <row r="194" spans="2:13" ht="15.75" thickBot="1">
      <c r="B194" s="47" t="s">
        <v>76</v>
      </c>
      <c r="C194" s="48">
        <v>44.55</v>
      </c>
      <c r="D194" s="50">
        <v>32.414000000000001</v>
      </c>
      <c r="E194" s="50">
        <f t="shared" si="27"/>
        <v>72.758698092031437</v>
      </c>
      <c r="F194" s="38">
        <f t="shared" si="28"/>
        <v>72.758698092031437</v>
      </c>
      <c r="H194" s="170"/>
      <c r="I194" s="171"/>
      <c r="J194" s="171"/>
      <c r="K194" s="171"/>
      <c r="L194" s="38"/>
      <c r="M194" s="38"/>
    </row>
    <row r="195" spans="2:13" ht="15.75" thickBot="1">
      <c r="B195" s="47" t="s">
        <v>77</v>
      </c>
      <c r="C195" s="48">
        <v>49.66</v>
      </c>
      <c r="D195" s="50">
        <v>21.594999999999999</v>
      </c>
      <c r="E195" s="50">
        <f t="shared" si="27"/>
        <v>43.485702778896496</v>
      </c>
      <c r="F195" s="38">
        <f t="shared" si="28"/>
        <v>43.485702778896496</v>
      </c>
      <c r="H195" s="170"/>
      <c r="I195" s="171"/>
      <c r="J195" s="171"/>
      <c r="K195" s="171"/>
      <c r="L195" s="38"/>
      <c r="M195" s="38"/>
    </row>
    <row r="196" spans="2:13" ht="15.75" thickBot="1">
      <c r="B196" s="47" t="s">
        <v>91</v>
      </c>
      <c r="C196" s="48">
        <v>77.77</v>
      </c>
      <c r="D196" s="50">
        <v>36.566000000000003</v>
      </c>
      <c r="E196" s="50">
        <f t="shared" si="27"/>
        <v>47.018130384467021</v>
      </c>
      <c r="F196" s="38">
        <f t="shared" si="28"/>
        <v>47.018130384467021</v>
      </c>
      <c r="H196" s="170"/>
      <c r="I196" s="171"/>
      <c r="J196" s="171"/>
      <c r="K196" s="171"/>
      <c r="L196" s="38"/>
      <c r="M196" s="38"/>
    </row>
    <row r="197" spans="2:13" ht="15.75" thickBot="1">
      <c r="B197" s="47" t="s">
        <v>79</v>
      </c>
      <c r="C197" s="48">
        <v>43.76</v>
      </c>
      <c r="D197" s="50">
        <v>14.711</v>
      </c>
      <c r="E197" s="50">
        <f t="shared" si="27"/>
        <v>33.617458866544794</v>
      </c>
      <c r="F197" s="38">
        <f t="shared" si="28"/>
        <v>33.617458866544794</v>
      </c>
      <c r="H197" s="170"/>
      <c r="I197" s="171"/>
      <c r="J197" s="171"/>
      <c r="K197" s="171"/>
      <c r="L197" s="38"/>
      <c r="M197" s="38"/>
    </row>
    <row r="198" spans="2:13" ht="15.75" thickBot="1">
      <c r="B198" s="47" t="s">
        <v>80</v>
      </c>
      <c r="C198" s="48">
        <v>79.37</v>
      </c>
      <c r="D198" s="50">
        <v>63.801000000000002</v>
      </c>
      <c r="E198" s="50">
        <f t="shared" si="27"/>
        <v>80.384276174877158</v>
      </c>
      <c r="F198" s="38">
        <f t="shared" si="28"/>
        <v>80.384276174877158</v>
      </c>
      <c r="H198" s="170"/>
      <c r="I198" s="171"/>
      <c r="J198" s="171"/>
      <c r="K198" s="171"/>
      <c r="L198" s="38"/>
      <c r="M198" s="38"/>
    </row>
    <row r="199" spans="2:13" ht="15.75" thickBot="1">
      <c r="B199" s="47" t="s">
        <v>81</v>
      </c>
      <c r="C199" s="48">
        <v>44.53</v>
      </c>
      <c r="D199" s="50">
        <v>61.66</v>
      </c>
      <c r="E199" s="50">
        <f t="shared" si="27"/>
        <v>138.46844823714349</v>
      </c>
      <c r="F199" s="38">
        <f t="shared" si="28"/>
        <v>138.46844823714349</v>
      </c>
      <c r="H199" s="170"/>
      <c r="I199" s="171"/>
      <c r="J199" s="171"/>
      <c r="K199" s="171"/>
      <c r="L199" s="38"/>
      <c r="M199" s="38"/>
    </row>
    <row r="200" spans="2:13" ht="16.5" thickBot="1">
      <c r="B200" s="47" t="s">
        <v>82</v>
      </c>
      <c r="C200" s="48">
        <v>121.43</v>
      </c>
      <c r="D200" s="50">
        <v>92.497</v>
      </c>
      <c r="E200" s="50">
        <f t="shared" si="27"/>
        <v>76.173103845837105</v>
      </c>
      <c r="F200" s="38">
        <f t="shared" si="28"/>
        <v>76.173103845837105</v>
      </c>
      <c r="H200" s="173"/>
      <c r="I200" s="169"/>
      <c r="J200" s="169"/>
      <c r="K200" s="171"/>
      <c r="L200" s="38"/>
      <c r="M200" s="38"/>
    </row>
    <row r="201" spans="2:13" ht="16.5" thickBot="1">
      <c r="B201" s="49" t="s">
        <v>92</v>
      </c>
      <c r="C201" s="164">
        <f>SUM(C188:C200)</f>
        <v>871.52</v>
      </c>
      <c r="D201" s="185">
        <f>SUM(D188:D200)</f>
        <v>581.33400000000006</v>
      </c>
      <c r="E201" s="50">
        <f t="shared" si="27"/>
        <v>66.703460620525078</v>
      </c>
      <c r="F201" s="38">
        <f t="shared" si="28"/>
        <v>66.703460620525078</v>
      </c>
    </row>
    <row r="202" spans="2:13">
      <c r="C202">
        <f>SUM(C188:C200)</f>
        <v>871.52</v>
      </c>
      <c r="D202" s="38">
        <f>SUM(D188:D200)</f>
        <v>581.33400000000006</v>
      </c>
    </row>
    <row r="207" spans="2:13" ht="15.75" thickBot="1"/>
    <row r="208" spans="2:13" ht="15" customHeight="1" thickBot="1">
      <c r="H208" s="586" t="s">
        <v>96</v>
      </c>
      <c r="I208" s="587"/>
      <c r="J208" s="587"/>
      <c r="K208" s="587"/>
      <c r="L208" s="588"/>
      <c r="M208" s="145"/>
    </row>
    <row r="209" spans="8:13" ht="15" customHeight="1" thickBot="1">
      <c r="H209" s="589" t="s">
        <v>97</v>
      </c>
      <c r="I209" s="586" t="s">
        <v>262</v>
      </c>
      <c r="J209" s="588"/>
      <c r="K209" s="485" t="s">
        <v>265</v>
      </c>
      <c r="L209" s="486"/>
      <c r="M209" s="145"/>
    </row>
    <row r="210" spans="8:13" ht="49.9" customHeight="1">
      <c r="H210" s="590"/>
      <c r="I210" s="51" t="s">
        <v>98</v>
      </c>
      <c r="J210" s="471" t="s">
        <v>100</v>
      </c>
      <c r="K210" s="191" t="s">
        <v>98</v>
      </c>
      <c r="L210" s="473" t="s">
        <v>100</v>
      </c>
      <c r="M210" s="145"/>
    </row>
    <row r="211" spans="8:13" ht="27" customHeight="1" thickBot="1">
      <c r="H211" s="591"/>
      <c r="I211" s="36" t="s">
        <v>99</v>
      </c>
      <c r="J211" s="472"/>
      <c r="K211" s="192" t="s">
        <v>99</v>
      </c>
      <c r="L211" s="474"/>
      <c r="M211" s="145"/>
    </row>
    <row r="212" spans="8:13" ht="27" customHeight="1" thickBot="1">
      <c r="H212" s="52" t="s">
        <v>101</v>
      </c>
      <c r="I212" s="53">
        <v>53126</v>
      </c>
      <c r="J212" s="53">
        <v>4.29</v>
      </c>
      <c r="K212" s="193">
        <v>62709</v>
      </c>
      <c r="L212" s="193">
        <v>5.09</v>
      </c>
      <c r="M212" s="146"/>
    </row>
    <row r="213" spans="8:13" ht="27" customHeight="1" thickBot="1">
      <c r="H213" s="52" t="s">
        <v>102</v>
      </c>
      <c r="I213" s="53">
        <v>31343</v>
      </c>
      <c r="J213" s="53">
        <v>6.21</v>
      </c>
      <c r="K213" s="193">
        <v>35263</v>
      </c>
      <c r="L213" s="193">
        <v>6.22</v>
      </c>
      <c r="M213" s="146">
        <f>9280*5.09</f>
        <v>47235.199999999997</v>
      </c>
    </row>
    <row r="214" spans="8:13" ht="15.75" thickBot="1">
      <c r="H214" s="52" t="s">
        <v>103</v>
      </c>
      <c r="I214" s="53">
        <v>28361</v>
      </c>
      <c r="J214" s="53">
        <v>3.46</v>
      </c>
      <c r="K214" s="193">
        <v>29112</v>
      </c>
      <c r="L214" s="193">
        <v>3.57</v>
      </c>
      <c r="M214" s="146">
        <f>12993*5.09</f>
        <v>66134.37</v>
      </c>
    </row>
    <row r="215" spans="8:13" ht="15.75" thickBot="1">
      <c r="H215" s="52" t="s">
        <v>104</v>
      </c>
      <c r="I215" s="53">
        <v>8789</v>
      </c>
      <c r="J215" s="53">
        <v>5.29</v>
      </c>
      <c r="K215" s="193">
        <v>7318</v>
      </c>
      <c r="L215" s="193">
        <v>4.76</v>
      </c>
      <c r="M215" s="146"/>
    </row>
    <row r="216" spans="8:13">
      <c r="H216" s="552" t="s">
        <v>105</v>
      </c>
      <c r="I216" s="554">
        <v>23247</v>
      </c>
      <c r="J216" s="554">
        <v>1.67</v>
      </c>
      <c r="K216" s="556">
        <v>23097</v>
      </c>
      <c r="L216" s="556">
        <v>2.27</v>
      </c>
      <c r="M216" s="146"/>
    </row>
    <row r="217" spans="8:13" ht="15.75" thickBot="1">
      <c r="H217" s="553"/>
      <c r="I217" s="555"/>
      <c r="J217" s="555"/>
      <c r="K217" s="557"/>
      <c r="L217" s="557"/>
      <c r="M217" s="146"/>
    </row>
    <row r="218" spans="8:13" ht="15.75" thickBot="1">
      <c r="H218" s="54" t="s">
        <v>106</v>
      </c>
      <c r="I218" s="36">
        <v>27049</v>
      </c>
      <c r="J218" s="36">
        <v>3.84</v>
      </c>
      <c r="K218" s="192">
        <v>27988</v>
      </c>
      <c r="L218" s="192">
        <v>3.89</v>
      </c>
      <c r="M218" s="145"/>
    </row>
    <row r="220" spans="8:13">
      <c r="H220" t="s">
        <v>267</v>
      </c>
    </row>
    <row r="222" spans="8:13" ht="15.75" thickBot="1"/>
    <row r="223" spans="8:13" ht="31.15" customHeight="1" thickBot="1">
      <c r="H223" s="475" t="s">
        <v>107</v>
      </c>
      <c r="I223" s="476"/>
      <c r="J223" s="476"/>
      <c r="K223" s="477"/>
    </row>
    <row r="224" spans="8:13" ht="31.15" customHeight="1" thickBot="1">
      <c r="H224" s="550" t="s">
        <v>97</v>
      </c>
      <c r="I224" s="475" t="s">
        <v>108</v>
      </c>
      <c r="J224" s="476"/>
      <c r="K224" s="477"/>
    </row>
    <row r="225" spans="8:18" ht="16.5" thickBot="1">
      <c r="H225" s="551"/>
      <c r="I225" s="55" t="s">
        <v>64</v>
      </c>
      <c r="J225" s="189" t="s">
        <v>198</v>
      </c>
      <c r="K225" s="55" t="s">
        <v>109</v>
      </c>
    </row>
    <row r="226" spans="8:18" ht="30.75" thickBot="1">
      <c r="H226" s="56" t="s">
        <v>101</v>
      </c>
      <c r="I226" s="57">
        <v>20713</v>
      </c>
      <c r="J226" s="190">
        <v>21188</v>
      </c>
      <c r="K226" s="59">
        <f>+(J226-I226)/I226*100</f>
        <v>2.2932457876695795</v>
      </c>
      <c r="L226" s="35">
        <f>+(J226-I226)/I226*100</f>
        <v>2.2932457876695795</v>
      </c>
      <c r="M226" s="35"/>
    </row>
    <row r="227" spans="8:18" ht="30.75" thickBot="1">
      <c r="H227" s="56" t="s">
        <v>102</v>
      </c>
      <c r="I227" s="57">
        <v>7856</v>
      </c>
      <c r="J227" s="190">
        <v>9280</v>
      </c>
      <c r="K227" s="59">
        <f t="shared" ref="K227:K231" si="29">+(J227-I227)/I227*100</f>
        <v>18.126272912423623</v>
      </c>
      <c r="L227" s="35">
        <f t="shared" ref="L227:L231" si="30">+(J227-I227)/I227*100</f>
        <v>18.126272912423623</v>
      </c>
      <c r="M227" s="35"/>
    </row>
    <row r="228" spans="8:18" ht="15.75" thickBot="1">
      <c r="H228" s="56" t="s">
        <v>103</v>
      </c>
      <c r="I228" s="57">
        <v>17235</v>
      </c>
      <c r="J228" s="190">
        <v>18079</v>
      </c>
      <c r="K228" s="59">
        <f t="shared" si="29"/>
        <v>4.8970118944009284</v>
      </c>
      <c r="L228" s="35">
        <f t="shared" si="30"/>
        <v>4.8970118944009284</v>
      </c>
      <c r="M228" s="35"/>
    </row>
    <row r="229" spans="8:18" ht="15.75" thickBot="1">
      <c r="H229" s="56" t="s">
        <v>104</v>
      </c>
      <c r="I229" s="57">
        <v>2544</v>
      </c>
      <c r="J229" s="190">
        <v>2600</v>
      </c>
      <c r="K229" s="59">
        <f t="shared" si="29"/>
        <v>2.2012578616352201</v>
      </c>
      <c r="L229" s="35">
        <f t="shared" si="30"/>
        <v>2.2012578616352201</v>
      </c>
      <c r="M229" s="35"/>
    </row>
    <row r="230" spans="8:18" ht="15.75" thickBot="1">
      <c r="H230" s="56" t="s">
        <v>105</v>
      </c>
      <c r="I230" s="57">
        <v>21546</v>
      </c>
      <c r="J230" s="190">
        <v>15692</v>
      </c>
      <c r="K230" s="59">
        <f t="shared" si="29"/>
        <v>-27.169776292583308</v>
      </c>
      <c r="L230" s="35">
        <f t="shared" si="30"/>
        <v>-27.169776292583308</v>
      </c>
      <c r="M230" s="35"/>
    </row>
    <row r="231" spans="8:18" ht="16.5" thickBot="1">
      <c r="H231" s="58" t="s">
        <v>106</v>
      </c>
      <c r="I231" s="55">
        <v>12179</v>
      </c>
      <c r="J231" s="189">
        <v>12489</v>
      </c>
      <c r="K231" s="59">
        <f t="shared" si="29"/>
        <v>2.5453649724936365</v>
      </c>
      <c r="L231" s="35">
        <f t="shared" si="30"/>
        <v>2.5453649724936365</v>
      </c>
      <c r="M231" s="35"/>
    </row>
    <row r="234" spans="8:18" ht="15.75" thickBot="1"/>
    <row r="235" spans="8:18" ht="14.45" customHeight="1">
      <c r="H235" s="579" t="s">
        <v>31</v>
      </c>
      <c r="I235" s="580"/>
      <c r="J235" s="580"/>
      <c r="K235" s="580"/>
      <c r="L235" s="580"/>
      <c r="M235" s="580"/>
      <c r="N235" s="580"/>
      <c r="O235" s="581"/>
      <c r="P235" s="215"/>
      <c r="Q235" s="215"/>
      <c r="R235" s="5"/>
    </row>
    <row r="236" spans="8:18" ht="15" customHeight="1" thickBot="1">
      <c r="H236" s="582" t="s">
        <v>32</v>
      </c>
      <c r="I236" s="583"/>
      <c r="J236" s="583"/>
      <c r="K236" s="583"/>
      <c r="L236" s="583"/>
      <c r="M236" s="583"/>
      <c r="N236" s="583"/>
      <c r="O236" s="584"/>
      <c r="P236" s="215"/>
      <c r="Q236" s="215"/>
      <c r="R236" s="5"/>
    </row>
    <row r="237" spans="8:18">
      <c r="H237" s="382" t="s">
        <v>0</v>
      </c>
      <c r="I237" s="487" t="s">
        <v>33</v>
      </c>
      <c r="J237" s="487" t="s">
        <v>34</v>
      </c>
      <c r="K237" s="383" t="s">
        <v>35</v>
      </c>
      <c r="L237" s="487" t="s">
        <v>2</v>
      </c>
      <c r="M237" s="487" t="s">
        <v>3</v>
      </c>
      <c r="N237" s="487" t="s">
        <v>4</v>
      </c>
      <c r="O237" s="487" t="s">
        <v>5</v>
      </c>
      <c r="R237" s="5"/>
    </row>
    <row r="238" spans="8:18" ht="25.9" customHeight="1" thickBot="1">
      <c r="H238" s="384"/>
      <c r="I238" s="488"/>
      <c r="J238" s="488"/>
      <c r="K238" s="385" t="s">
        <v>36</v>
      </c>
      <c r="L238" s="488"/>
      <c r="M238" s="488"/>
      <c r="N238" s="488"/>
      <c r="O238" s="488"/>
      <c r="R238" s="5"/>
    </row>
    <row r="239" spans="8:18">
      <c r="H239" s="558" t="s">
        <v>6</v>
      </c>
      <c r="I239" s="386">
        <v>60.1</v>
      </c>
      <c r="J239" s="386">
        <v>17.34</v>
      </c>
      <c r="K239" s="386">
        <v>13.4</v>
      </c>
      <c r="L239" s="386">
        <v>9.85</v>
      </c>
      <c r="M239" s="386">
        <v>3.29</v>
      </c>
      <c r="N239" s="386">
        <v>14.88</v>
      </c>
      <c r="O239" s="386">
        <v>118.86</v>
      </c>
      <c r="R239" s="5"/>
    </row>
    <row r="240" spans="8:18" ht="15.75" thickBot="1">
      <c r="H240" s="559"/>
      <c r="I240" s="387">
        <v>-50.56</v>
      </c>
      <c r="J240" s="387">
        <v>-14.59</v>
      </c>
      <c r="K240" s="387">
        <v>-11.27</v>
      </c>
      <c r="L240" s="387">
        <v>-8.2899999999999991</v>
      </c>
      <c r="M240" s="387">
        <v>-2.77</v>
      </c>
      <c r="N240" s="387">
        <v>-12.52</v>
      </c>
      <c r="O240" s="387">
        <v>-100</v>
      </c>
      <c r="R240" s="5"/>
    </row>
    <row r="241" spans="8:18">
      <c r="H241" s="558" t="s">
        <v>7</v>
      </c>
      <c r="I241" s="386">
        <v>67.77</v>
      </c>
      <c r="J241" s="386">
        <v>21.4</v>
      </c>
      <c r="K241" s="386">
        <v>14.13</v>
      </c>
      <c r="L241" s="386">
        <v>13.52</v>
      </c>
      <c r="M241" s="386">
        <v>3.91</v>
      </c>
      <c r="N241" s="386">
        <v>16.23</v>
      </c>
      <c r="O241" s="386">
        <v>136.96</v>
      </c>
      <c r="R241" s="5"/>
    </row>
    <row r="242" spans="8:18" ht="15.75" thickBot="1">
      <c r="H242" s="559"/>
      <c r="I242" s="387">
        <v>-49.48</v>
      </c>
      <c r="J242" s="387">
        <v>-15.63</v>
      </c>
      <c r="K242" s="387">
        <v>-10.32</v>
      </c>
      <c r="L242" s="387">
        <v>-9.8699999999999992</v>
      </c>
      <c r="M242" s="387">
        <v>-2.85</v>
      </c>
      <c r="N242" s="387">
        <v>-11.85</v>
      </c>
      <c r="O242" s="387">
        <v>-100</v>
      </c>
      <c r="R242" s="5"/>
    </row>
    <row r="243" spans="8:18">
      <c r="H243" s="558" t="s">
        <v>8</v>
      </c>
      <c r="I243" s="386">
        <v>69.72</v>
      </c>
      <c r="J243" s="386">
        <v>28.84</v>
      </c>
      <c r="K243" s="386">
        <v>13.39</v>
      </c>
      <c r="L243" s="386">
        <v>13.57</v>
      </c>
      <c r="M243" s="386">
        <v>5.61</v>
      </c>
      <c r="N243" s="386">
        <v>18.989999999999998</v>
      </c>
      <c r="O243" s="386">
        <v>150.12</v>
      </c>
      <c r="R243" s="5"/>
    </row>
    <row r="244" spans="8:18" ht="15.75" thickBot="1">
      <c r="H244" s="559"/>
      <c r="I244" s="387">
        <v>-46.44</v>
      </c>
      <c r="J244" s="387">
        <v>-19.21</v>
      </c>
      <c r="K244" s="387">
        <v>-8.92</v>
      </c>
      <c r="L244" s="387">
        <v>-9.0399999999999991</v>
      </c>
      <c r="M244" s="387">
        <v>-3.74</v>
      </c>
      <c r="N244" s="387">
        <v>-12.65</v>
      </c>
      <c r="O244" s="387">
        <v>-100</v>
      </c>
      <c r="R244" s="5"/>
    </row>
    <row r="245" spans="8:18">
      <c r="H245" s="558" t="s">
        <v>9</v>
      </c>
      <c r="I245" s="386">
        <v>81.2</v>
      </c>
      <c r="J245" s="386">
        <v>33.97</v>
      </c>
      <c r="K245" s="386">
        <v>14.39</v>
      </c>
      <c r="L245" s="386">
        <v>14.02</v>
      </c>
      <c r="M245" s="386">
        <v>6.82</v>
      </c>
      <c r="N245" s="386">
        <v>34.520000000000003</v>
      </c>
      <c r="O245" s="386">
        <v>184.92</v>
      </c>
      <c r="R245" s="5"/>
    </row>
    <row r="246" spans="8:18" ht="15.75" thickBot="1">
      <c r="H246" s="559"/>
      <c r="I246" s="387">
        <v>-43.91</v>
      </c>
      <c r="J246" s="387">
        <v>-18.37</v>
      </c>
      <c r="K246" s="387">
        <v>-7.78</v>
      </c>
      <c r="L246" s="387">
        <v>-7.58</v>
      </c>
      <c r="M246" s="387">
        <v>-3.69</v>
      </c>
      <c r="N246" s="387">
        <v>-18.670000000000002</v>
      </c>
      <c r="O246" s="387">
        <v>-100</v>
      </c>
      <c r="R246" s="5"/>
    </row>
    <row r="247" spans="8:18">
      <c r="H247" s="558" t="s">
        <v>10</v>
      </c>
      <c r="I247" s="386">
        <v>91.04</v>
      </c>
      <c r="J247" s="386">
        <v>34.22</v>
      </c>
      <c r="K247" s="386">
        <v>16.260000000000002</v>
      </c>
      <c r="L247" s="386">
        <v>15.45</v>
      </c>
      <c r="M247" s="386">
        <v>7.11</v>
      </c>
      <c r="N247" s="386">
        <v>42.3</v>
      </c>
      <c r="O247" s="386">
        <v>206.38</v>
      </c>
      <c r="R247" s="5"/>
    </row>
    <row r="248" spans="8:18" ht="15.75" thickBot="1">
      <c r="H248" s="559"/>
      <c r="I248" s="387">
        <v>-44.11</v>
      </c>
      <c r="J248" s="387">
        <v>-16.579999999999998</v>
      </c>
      <c r="K248" s="387">
        <v>-7.88</v>
      </c>
      <c r="L248" s="387">
        <v>-7.49</v>
      </c>
      <c r="M248" s="387">
        <v>-3.45</v>
      </c>
      <c r="N248" s="387">
        <v>-20.5</v>
      </c>
      <c r="O248" s="387">
        <v>-100</v>
      </c>
      <c r="R248" s="5"/>
    </row>
    <row r="249" spans="8:18">
      <c r="H249" s="558" t="s">
        <v>11</v>
      </c>
      <c r="I249" s="386">
        <v>97.82</v>
      </c>
      <c r="J249" s="386">
        <v>35.86</v>
      </c>
      <c r="K249" s="386">
        <v>13.26</v>
      </c>
      <c r="L249" s="386">
        <v>21.46</v>
      </c>
      <c r="M249" s="386">
        <v>8.85</v>
      </c>
      <c r="N249" s="386">
        <v>35.97</v>
      </c>
      <c r="O249" s="386">
        <v>213.22</v>
      </c>
      <c r="R249" s="5"/>
    </row>
    <row r="250" spans="8:18" ht="15.75" thickBot="1">
      <c r="H250" s="559"/>
      <c r="I250" s="387">
        <v>-45.88</v>
      </c>
      <c r="J250" s="387">
        <v>-16.82</v>
      </c>
      <c r="K250" s="387">
        <v>-6.22</v>
      </c>
      <c r="L250" s="387">
        <v>-10.06</v>
      </c>
      <c r="M250" s="387">
        <v>-4.1500000000000004</v>
      </c>
      <c r="N250" s="387">
        <v>-16.87</v>
      </c>
      <c r="O250" s="387">
        <v>-100</v>
      </c>
      <c r="R250" s="5"/>
    </row>
    <row r="251" spans="8:18">
      <c r="H251" s="558" t="s">
        <v>12</v>
      </c>
      <c r="I251" s="386">
        <v>137.72</v>
      </c>
      <c r="J251" s="386">
        <v>48.81</v>
      </c>
      <c r="K251" s="386">
        <v>13.14</v>
      </c>
      <c r="L251" s="386">
        <v>41.28</v>
      </c>
      <c r="M251" s="386">
        <v>9.5</v>
      </c>
      <c r="N251" s="386">
        <v>38.49</v>
      </c>
      <c r="O251" s="386">
        <v>288.94</v>
      </c>
      <c r="R251" s="5"/>
    </row>
    <row r="252" spans="8:18" ht="15.75" thickBot="1">
      <c r="H252" s="559"/>
      <c r="I252" s="387">
        <v>-47.66</v>
      </c>
      <c r="J252" s="387">
        <v>-16.89</v>
      </c>
      <c r="K252" s="387">
        <v>-4.55</v>
      </c>
      <c r="L252" s="387">
        <v>-14.29</v>
      </c>
      <c r="M252" s="387">
        <v>-3.29</v>
      </c>
      <c r="N252" s="387">
        <v>-13.32</v>
      </c>
      <c r="O252" s="387">
        <v>-100</v>
      </c>
      <c r="R252" s="5"/>
    </row>
    <row r="253" spans="8:18">
      <c r="H253" s="558" t="s">
        <v>13</v>
      </c>
      <c r="I253" s="386">
        <v>145.38</v>
      </c>
      <c r="J253" s="386">
        <v>38.270000000000003</v>
      </c>
      <c r="K253" s="386">
        <v>12.33</v>
      </c>
      <c r="L253" s="386">
        <v>58.46</v>
      </c>
      <c r="M253" s="386">
        <v>12.72</v>
      </c>
      <c r="N253" s="386">
        <v>48.2</v>
      </c>
      <c r="O253" s="386">
        <v>315.36</v>
      </c>
      <c r="R253" s="5"/>
    </row>
    <row r="254" spans="8:18" ht="15.75" thickBot="1">
      <c r="H254" s="559"/>
      <c r="I254" s="387">
        <v>-46.1</v>
      </c>
      <c r="J254" s="387">
        <v>-12.14</v>
      </c>
      <c r="K254" s="387">
        <v>-3.91</v>
      </c>
      <c r="L254" s="387">
        <v>-18.54</v>
      </c>
      <c r="M254" s="387">
        <v>-4.03</v>
      </c>
      <c r="N254" s="387">
        <v>-15.28</v>
      </c>
      <c r="O254" s="387">
        <v>-100</v>
      </c>
      <c r="R254" s="5"/>
    </row>
    <row r="255" spans="8:18">
      <c r="H255" s="558" t="s">
        <v>14</v>
      </c>
      <c r="I255" s="386">
        <v>156.32</v>
      </c>
      <c r="J255" s="386">
        <v>30.62</v>
      </c>
      <c r="K255" s="386">
        <v>12.87</v>
      </c>
      <c r="L255" s="386">
        <v>79.040000000000006</v>
      </c>
      <c r="M255" s="386">
        <v>15.74</v>
      </c>
      <c r="N255" s="386">
        <v>59.16</v>
      </c>
      <c r="O255" s="386">
        <v>353.74</v>
      </c>
      <c r="R255" s="5"/>
    </row>
    <row r="256" spans="8:18" ht="15.75" thickBot="1">
      <c r="H256" s="559"/>
      <c r="I256" s="387">
        <v>-44.19</v>
      </c>
      <c r="J256" s="387">
        <v>-8.66</v>
      </c>
      <c r="K256" s="387">
        <v>-3.64</v>
      </c>
      <c r="L256" s="387">
        <v>-22.34</v>
      </c>
      <c r="M256" s="387">
        <v>-4.45</v>
      </c>
      <c r="N256" s="387">
        <v>-16.72</v>
      </c>
      <c r="O256" s="387">
        <v>-100</v>
      </c>
      <c r="R256" s="5"/>
    </row>
    <row r="257" spans="8:19">
      <c r="H257" s="558" t="s">
        <v>15</v>
      </c>
      <c r="I257" s="386">
        <v>168.57</v>
      </c>
      <c r="J257" s="386">
        <v>21.86</v>
      </c>
      <c r="K257" s="386">
        <v>11.95</v>
      </c>
      <c r="L257" s="386">
        <v>109.26</v>
      </c>
      <c r="M257" s="386">
        <v>12.55</v>
      </c>
      <c r="N257" s="386">
        <v>63.74</v>
      </c>
      <c r="O257" s="386">
        <v>387.92</v>
      </c>
      <c r="R257" s="5"/>
    </row>
    <row r="258" spans="8:19" ht="15.75" thickBot="1">
      <c r="H258" s="560"/>
      <c r="I258" s="387">
        <v>-43.45</v>
      </c>
      <c r="J258" s="387">
        <v>-5.63</v>
      </c>
      <c r="K258" s="387">
        <v>-3.08</v>
      </c>
      <c r="L258" s="387">
        <v>-28.17</v>
      </c>
      <c r="M258" s="387">
        <v>-3.23</v>
      </c>
      <c r="N258" s="387">
        <v>-16.43</v>
      </c>
      <c r="O258" s="387">
        <v>-100</v>
      </c>
      <c r="R258" s="5"/>
    </row>
    <row r="259" spans="8:19" ht="18" customHeight="1" thickBot="1">
      <c r="H259" s="491" t="s">
        <v>64</v>
      </c>
      <c r="I259" s="388">
        <v>169.77699999999999</v>
      </c>
      <c r="J259" s="388">
        <v>18.338000000000001</v>
      </c>
      <c r="K259" s="388">
        <v>14.178000000000001</v>
      </c>
      <c r="L259" s="388">
        <v>126.321</v>
      </c>
      <c r="M259" s="388">
        <v>12.01</v>
      </c>
      <c r="N259" s="388">
        <v>76.346000000000004</v>
      </c>
      <c r="O259" s="388">
        <v>416.97</v>
      </c>
      <c r="R259" s="5"/>
    </row>
    <row r="260" spans="8:19" ht="18" customHeight="1" thickBot="1">
      <c r="H260" s="492"/>
      <c r="I260" s="388">
        <f t="shared" ref="I260:O260" si="31">+I259/$O$259*100</f>
        <v>40.716838141832739</v>
      </c>
      <c r="J260" s="388">
        <f t="shared" si="31"/>
        <v>4.3979183154663408</v>
      </c>
      <c r="K260" s="388">
        <f t="shared" si="31"/>
        <v>3.4002446219152458</v>
      </c>
      <c r="L260" s="388">
        <f t="shared" si="31"/>
        <v>30.294985250737462</v>
      </c>
      <c r="M260" s="388">
        <f t="shared" si="31"/>
        <v>2.8803031393145786</v>
      </c>
      <c r="N260" s="388">
        <f t="shared" si="31"/>
        <v>18.309710530733625</v>
      </c>
      <c r="O260" s="388">
        <f t="shared" si="31"/>
        <v>100</v>
      </c>
      <c r="R260" s="5"/>
    </row>
    <row r="261" spans="8:19" ht="18" customHeight="1" thickBot="1">
      <c r="H261" s="491" t="s">
        <v>198</v>
      </c>
      <c r="I261" s="388">
        <v>167.27799999999999</v>
      </c>
      <c r="J261" s="388">
        <v>26.794</v>
      </c>
      <c r="K261" s="388">
        <v>14.224</v>
      </c>
      <c r="L261" s="388">
        <v>156.73699999999999</v>
      </c>
      <c r="M261" s="388">
        <v>13.952</v>
      </c>
      <c r="N261" s="388">
        <v>91.903000000000006</v>
      </c>
      <c r="O261" s="388">
        <v>470.88799999999998</v>
      </c>
      <c r="R261" s="5"/>
    </row>
    <row r="262" spans="8:19" ht="18" customHeight="1" thickBot="1">
      <c r="H262" s="632"/>
      <c r="I262" s="389">
        <f t="shared" ref="I262:O262" si="32">+I261/$O$261*100</f>
        <v>35.523946246241145</v>
      </c>
      <c r="J262" s="389">
        <f t="shared" si="32"/>
        <v>5.6901004060413518</v>
      </c>
      <c r="K262" s="389">
        <f t="shared" si="32"/>
        <v>3.0206758294966107</v>
      </c>
      <c r="L262" s="389">
        <f t="shared" si="32"/>
        <v>33.285409694024906</v>
      </c>
      <c r="M262" s="389">
        <f t="shared" si="32"/>
        <v>2.9629126246580926</v>
      </c>
      <c r="N262" s="389">
        <f t="shared" si="32"/>
        <v>19.516955199537897</v>
      </c>
      <c r="O262" s="389">
        <f t="shared" si="32"/>
        <v>100</v>
      </c>
      <c r="R262" s="5"/>
    </row>
    <row r="263" spans="8:19" ht="30.6" customHeight="1" thickBot="1">
      <c r="H263" s="561" t="s">
        <v>37</v>
      </c>
      <c r="I263" s="562"/>
      <c r="J263" s="562"/>
      <c r="K263" s="562"/>
      <c r="L263" s="562"/>
      <c r="M263" s="562"/>
      <c r="N263" s="562"/>
      <c r="O263" s="563"/>
      <c r="P263" s="216"/>
      <c r="Q263" s="216"/>
      <c r="R263" s="5"/>
    </row>
    <row r="266" spans="8:19" ht="15.75" thickBot="1"/>
    <row r="267" spans="8:19" ht="14.45" customHeight="1">
      <c r="H267" s="564" t="s">
        <v>110</v>
      </c>
      <c r="I267" s="565"/>
      <c r="J267" s="565"/>
      <c r="K267" s="565"/>
      <c r="L267" s="565"/>
      <c r="M267" s="565"/>
      <c r="N267" s="565"/>
      <c r="O267" s="565"/>
      <c r="P267" s="566"/>
      <c r="Q267" s="173"/>
      <c r="R267" s="173"/>
      <c r="S267" s="5"/>
    </row>
    <row r="268" spans="8:19" ht="15" customHeight="1" thickBot="1">
      <c r="H268" s="218"/>
      <c r="I268" s="217"/>
      <c r="J268" s="217"/>
      <c r="K268" s="217"/>
      <c r="L268" s="217"/>
      <c r="M268" s="217"/>
      <c r="N268" s="217"/>
      <c r="O268" s="217"/>
      <c r="P268" s="219"/>
      <c r="Q268" s="173"/>
      <c r="R268" s="173"/>
      <c r="S268" s="5"/>
    </row>
    <row r="269" spans="8:19" ht="21.6" customHeight="1" thickBot="1">
      <c r="H269" s="493" t="s">
        <v>0</v>
      </c>
      <c r="I269" s="489" t="s">
        <v>32</v>
      </c>
      <c r="J269" s="490"/>
      <c r="K269" s="490"/>
      <c r="L269" s="490"/>
      <c r="M269" s="490"/>
      <c r="N269" s="490"/>
      <c r="O269" s="490"/>
      <c r="P269" s="220"/>
      <c r="Q269" s="223"/>
      <c r="R269" s="223"/>
      <c r="S269" s="5"/>
    </row>
    <row r="270" spans="8:19" ht="15.75" thickBot="1">
      <c r="H270" s="494"/>
      <c r="I270" s="221" t="s">
        <v>111</v>
      </c>
      <c r="J270" s="221" t="s">
        <v>112</v>
      </c>
      <c r="K270" s="221" t="s">
        <v>113</v>
      </c>
      <c r="L270" s="221" t="s">
        <v>114</v>
      </c>
      <c r="M270" s="221" t="s">
        <v>115</v>
      </c>
      <c r="N270" s="221" t="s">
        <v>116</v>
      </c>
      <c r="O270" s="221" t="s">
        <v>4</v>
      </c>
      <c r="P270" s="222" t="s">
        <v>5</v>
      </c>
      <c r="S270" s="5"/>
    </row>
    <row r="271" spans="8:19">
      <c r="H271" s="408" t="s">
        <v>7</v>
      </c>
      <c r="I271" s="61">
        <v>96.14</v>
      </c>
      <c r="J271" s="61">
        <v>12.14</v>
      </c>
      <c r="K271" s="61">
        <v>15.07</v>
      </c>
      <c r="L271" s="61">
        <v>8.1999999999999993</v>
      </c>
      <c r="M271" s="61">
        <v>0.85</v>
      </c>
      <c r="N271" s="61">
        <v>3.51</v>
      </c>
      <c r="O271" s="61">
        <v>1.05</v>
      </c>
      <c r="P271" s="61">
        <v>136.96</v>
      </c>
      <c r="S271" s="5"/>
    </row>
    <row r="272" spans="8:19" ht="15.75" thickBot="1">
      <c r="H272" s="409"/>
      <c r="I272" s="62">
        <v>-10.09</v>
      </c>
      <c r="J272" s="62">
        <v>-17.52</v>
      </c>
      <c r="K272" s="62">
        <v>-50.4</v>
      </c>
      <c r="L272" s="62">
        <f>-(2.84)</f>
        <v>-2.84</v>
      </c>
      <c r="M272" s="62">
        <v>-23.19</v>
      </c>
      <c r="N272" s="62">
        <v>-200</v>
      </c>
      <c r="O272" s="62">
        <v>-19.32</v>
      </c>
      <c r="P272" s="62">
        <v>-15.23</v>
      </c>
      <c r="S272" s="5"/>
    </row>
    <row r="273" spans="8:19">
      <c r="H273" s="408" t="s">
        <v>8</v>
      </c>
      <c r="I273" s="61">
        <v>103.53</v>
      </c>
      <c r="J273" s="61">
        <v>11.16</v>
      </c>
      <c r="K273" s="61">
        <v>17.670000000000002</v>
      </c>
      <c r="L273" s="61">
        <v>11.76</v>
      </c>
      <c r="M273" s="61">
        <v>0.71</v>
      </c>
      <c r="N273" s="61">
        <v>4.12</v>
      </c>
      <c r="O273" s="61">
        <v>1.17</v>
      </c>
      <c r="P273" s="61">
        <v>150.12</v>
      </c>
      <c r="S273" s="5"/>
    </row>
    <row r="274" spans="8:19" ht="15.75" thickBot="1">
      <c r="H274" s="409"/>
      <c r="I274" s="62">
        <v>-7.69</v>
      </c>
      <c r="J274" s="62">
        <f>-(8.07)</f>
        <v>-8.07</v>
      </c>
      <c r="K274" s="62">
        <v>-17.25</v>
      </c>
      <c r="L274" s="62">
        <v>-43.41</v>
      </c>
      <c r="M274" s="62">
        <f>-(16.47)</f>
        <v>-16.47</v>
      </c>
      <c r="N274" s="62">
        <v>-17.38</v>
      </c>
      <c r="O274" s="62">
        <v>-11.43</v>
      </c>
      <c r="P274" s="62">
        <v>-9.61</v>
      </c>
      <c r="S274" s="5"/>
    </row>
    <row r="275" spans="8:19">
      <c r="H275" s="408" t="s">
        <v>9</v>
      </c>
      <c r="I275" s="61">
        <v>131.27000000000001</v>
      </c>
      <c r="J275" s="61">
        <v>11.58</v>
      </c>
      <c r="K275" s="61">
        <v>18.61</v>
      </c>
      <c r="L275" s="61">
        <v>14.31</v>
      </c>
      <c r="M275" s="61">
        <v>0.81</v>
      </c>
      <c r="N275" s="61">
        <v>6.56</v>
      </c>
      <c r="O275" s="61">
        <v>1.78</v>
      </c>
      <c r="P275" s="61">
        <v>184.92</v>
      </c>
      <c r="S275" s="5"/>
    </row>
    <row r="276" spans="8:19" ht="15.75" thickBot="1">
      <c r="H276" s="409"/>
      <c r="I276" s="62">
        <v>-26.79</v>
      </c>
      <c r="J276" s="62">
        <v>-3.76</v>
      </c>
      <c r="K276" s="62">
        <v>-5.32</v>
      </c>
      <c r="L276" s="62">
        <v>-21.68</v>
      </c>
      <c r="M276" s="62">
        <v>-14.08</v>
      </c>
      <c r="N276" s="62">
        <v>-59.22</v>
      </c>
      <c r="O276" s="62">
        <v>-52.14</v>
      </c>
      <c r="P276" s="62">
        <v>-23.18</v>
      </c>
      <c r="S276" s="5"/>
    </row>
    <row r="277" spans="8:19">
      <c r="H277" s="408" t="s">
        <v>10</v>
      </c>
      <c r="I277" s="61">
        <v>150.52000000000001</v>
      </c>
      <c r="J277" s="61">
        <v>11.36</v>
      </c>
      <c r="K277" s="61">
        <v>19.29</v>
      </c>
      <c r="L277" s="61">
        <v>12.83</v>
      </c>
      <c r="M277" s="61">
        <v>0.89</v>
      </c>
      <c r="N277" s="61">
        <v>8.9</v>
      </c>
      <c r="O277" s="61">
        <v>2.59</v>
      </c>
      <c r="P277" s="61">
        <v>206.38</v>
      </c>
      <c r="S277" s="5"/>
    </row>
    <row r="278" spans="8:19" ht="15.75" thickBot="1">
      <c r="H278" s="409"/>
      <c r="I278" s="62">
        <v>-14.66</v>
      </c>
      <c r="J278" s="62">
        <f>-(1.9)</f>
        <v>-1.9</v>
      </c>
      <c r="K278" s="62">
        <v>-3.65</v>
      </c>
      <c r="L278" s="62">
        <f>-(10.34)</f>
        <v>-10.34</v>
      </c>
      <c r="M278" s="62">
        <v>-9.8800000000000008</v>
      </c>
      <c r="N278" s="62">
        <v>-35.67</v>
      </c>
      <c r="O278" s="62">
        <v>-45.51</v>
      </c>
      <c r="P278" s="62">
        <v>-11.61</v>
      </c>
      <c r="S278" s="5"/>
    </row>
    <row r="279" spans="8:19">
      <c r="H279" s="408" t="s">
        <v>11</v>
      </c>
      <c r="I279" s="61">
        <v>152.81</v>
      </c>
      <c r="J279" s="61">
        <v>10.42</v>
      </c>
      <c r="K279" s="61">
        <v>29.72</v>
      </c>
      <c r="L279" s="61">
        <v>11.9</v>
      </c>
      <c r="M279" s="61">
        <v>0.9</v>
      </c>
      <c r="N279" s="61">
        <v>4.97</v>
      </c>
      <c r="O279" s="61">
        <v>2.5</v>
      </c>
      <c r="P279" s="61">
        <v>213.22</v>
      </c>
      <c r="S279" s="5"/>
    </row>
    <row r="280" spans="8:19" ht="15.75" thickBot="1">
      <c r="H280" s="409"/>
      <c r="I280" s="62">
        <v>-1.52</v>
      </c>
      <c r="J280" s="62">
        <f>-(8.27)</f>
        <v>-8.27</v>
      </c>
      <c r="K280" s="62">
        <v>-54.07</v>
      </c>
      <c r="L280" s="62">
        <f>-(7.25)</f>
        <v>-7.25</v>
      </c>
      <c r="M280" s="62">
        <v>-1.1200000000000001</v>
      </c>
      <c r="N280" s="62">
        <f>-(44.16)</f>
        <v>-44.16</v>
      </c>
      <c r="O280" s="62">
        <f>-(3.47)</f>
        <v>-3.47</v>
      </c>
      <c r="P280" s="62">
        <v>-3.31</v>
      </c>
      <c r="S280" s="5"/>
    </row>
    <row r="281" spans="8:19">
      <c r="H281" s="408" t="s">
        <v>12</v>
      </c>
      <c r="I281" s="61">
        <v>205.58</v>
      </c>
      <c r="J281" s="61">
        <v>12.05</v>
      </c>
      <c r="K281" s="61">
        <v>43.69</v>
      </c>
      <c r="L281" s="61">
        <v>13.9</v>
      </c>
      <c r="M281" s="61">
        <v>1.17</v>
      </c>
      <c r="N281" s="61">
        <v>8.5500000000000007</v>
      </c>
      <c r="O281" s="61">
        <v>4</v>
      </c>
      <c r="P281" s="61">
        <v>288.94</v>
      </c>
      <c r="S281" s="5"/>
    </row>
    <row r="282" spans="8:19" ht="15.75" thickBot="1">
      <c r="H282" s="409"/>
      <c r="I282" s="62">
        <v>-34.53</v>
      </c>
      <c r="J282" s="62">
        <v>-15.64</v>
      </c>
      <c r="K282" s="62">
        <v>-47.01</v>
      </c>
      <c r="L282" s="62">
        <v>-16.809999999999999</v>
      </c>
      <c r="M282" s="62">
        <v>-30</v>
      </c>
      <c r="N282" s="62">
        <v>-72.03</v>
      </c>
      <c r="O282" s="62">
        <v>-60</v>
      </c>
      <c r="P282" s="62">
        <v>-35.51</v>
      </c>
      <c r="S282" s="5"/>
    </row>
    <row r="283" spans="8:19">
      <c r="H283" s="408" t="s">
        <v>13</v>
      </c>
      <c r="I283" s="61">
        <v>230.91</v>
      </c>
      <c r="J283" s="61">
        <v>14.88</v>
      </c>
      <c r="K283" s="61">
        <v>43.27</v>
      </c>
      <c r="L283" s="61">
        <v>14.58</v>
      </c>
      <c r="M283" s="61">
        <v>1.61</v>
      </c>
      <c r="N283" s="61">
        <v>3.1</v>
      </c>
      <c r="O283" s="61">
        <v>7.01</v>
      </c>
      <c r="P283" s="61">
        <v>315.36</v>
      </c>
      <c r="S283" s="5"/>
    </row>
    <row r="284" spans="8:19" ht="15.75" thickBot="1">
      <c r="H284" s="410"/>
      <c r="I284" s="62">
        <v>-12.32</v>
      </c>
      <c r="J284" s="62">
        <v>-23.49</v>
      </c>
      <c r="K284" s="62">
        <f>-(0.96)</f>
        <v>-0.96</v>
      </c>
      <c r="L284" s="62">
        <v>-4.8899999999999997</v>
      </c>
      <c r="M284" s="62">
        <v>-37.61</v>
      </c>
      <c r="N284" s="62">
        <f>-(63.74)</f>
        <v>-63.74</v>
      </c>
      <c r="O284" s="62">
        <v>-75.25</v>
      </c>
      <c r="P284" s="62">
        <v>-9.14</v>
      </c>
      <c r="S284" s="5"/>
    </row>
    <row r="285" spans="8:19">
      <c r="H285" s="411" t="s">
        <v>14</v>
      </c>
      <c r="I285" s="61">
        <v>259.05</v>
      </c>
      <c r="J285" s="61">
        <v>19.95</v>
      </c>
      <c r="K285" s="61">
        <v>45.63</v>
      </c>
      <c r="L285" s="61">
        <v>14.47</v>
      </c>
      <c r="M285" s="61">
        <v>1.21</v>
      </c>
      <c r="N285" s="61">
        <v>0.59</v>
      </c>
      <c r="O285" s="61">
        <v>12.85</v>
      </c>
      <c r="P285" s="61">
        <v>353.74</v>
      </c>
      <c r="S285" s="5"/>
    </row>
    <row r="286" spans="8:19" ht="15.75" thickBot="1">
      <c r="H286" s="412"/>
      <c r="I286" s="61">
        <v>-12.19</v>
      </c>
      <c r="J286" s="61">
        <v>-34.07</v>
      </c>
      <c r="K286" s="61">
        <v>-5.45</v>
      </c>
      <c r="L286" s="61">
        <f>-(0.75)</f>
        <v>-0.75</v>
      </c>
      <c r="M286" s="61">
        <f>-(24.84)</f>
        <v>-24.84</v>
      </c>
      <c r="N286" s="61">
        <f>-(80.97)</f>
        <v>-80.97</v>
      </c>
      <c r="O286" s="61">
        <v>-83.31</v>
      </c>
      <c r="P286" s="61">
        <v>-12.17</v>
      </c>
      <c r="S286" s="5"/>
    </row>
    <row r="287" spans="8:19">
      <c r="H287" s="413" t="s">
        <v>15</v>
      </c>
      <c r="I287" s="63">
        <v>287.82</v>
      </c>
      <c r="J287" s="63">
        <v>24.2</v>
      </c>
      <c r="K287" s="63">
        <v>51.81</v>
      </c>
      <c r="L287" s="63">
        <v>3.39</v>
      </c>
      <c r="M287" s="63">
        <v>0.93</v>
      </c>
      <c r="N287" s="63">
        <v>0.61</v>
      </c>
      <c r="O287" s="63">
        <v>19.170000000000002</v>
      </c>
      <c r="P287" s="63">
        <v>387.92</v>
      </c>
      <c r="S287" s="5"/>
    </row>
    <row r="288" spans="8:19" ht="15.75" thickBot="1">
      <c r="H288" s="412"/>
      <c r="I288" s="64">
        <v>-11.1</v>
      </c>
      <c r="J288" s="64">
        <v>-21.29</v>
      </c>
      <c r="K288" s="64">
        <v>-13.55</v>
      </c>
      <c r="L288" s="64">
        <f>-(76.58)</f>
        <v>-76.58</v>
      </c>
      <c r="M288" s="64">
        <f>-(22.89)</f>
        <v>-22.89</v>
      </c>
      <c r="N288" s="64">
        <v>-3.39</v>
      </c>
      <c r="O288" s="64">
        <v>-49.14</v>
      </c>
      <c r="P288" s="64">
        <v>-9.66</v>
      </c>
      <c r="S288" s="5"/>
    </row>
    <row r="289" spans="8:26">
      <c r="H289" s="413" t="s">
        <v>64</v>
      </c>
      <c r="I289" s="65">
        <v>309.94499999999999</v>
      </c>
      <c r="J289" s="65">
        <v>24.664000000000001</v>
      </c>
      <c r="K289" s="65">
        <v>58.692</v>
      </c>
      <c r="L289" s="65">
        <v>0.28399999999999997</v>
      </c>
      <c r="M289" s="65">
        <v>0.86599999999999999</v>
      </c>
      <c r="N289" s="65">
        <v>0.50900000000000001</v>
      </c>
      <c r="O289" s="65">
        <f>0.09+6.281+14.371+0.119+1.149</f>
        <v>22.01</v>
      </c>
      <c r="P289" s="65">
        <v>416.97</v>
      </c>
      <c r="S289" s="5"/>
    </row>
    <row r="290" spans="8:26" ht="15.75" thickBot="1">
      <c r="H290" s="412"/>
      <c r="I290" s="66">
        <f>+(I289-I287)/I287*100</f>
        <v>7.6870961017302477</v>
      </c>
      <c r="J290" s="66">
        <f t="shared" ref="J290:L290" si="33">+(J289-J287)/J287*100</f>
        <v>1.9173553719008356</v>
      </c>
      <c r="K290" s="66">
        <f t="shared" si="33"/>
        <v>13.283149971048056</v>
      </c>
      <c r="L290" s="66">
        <f t="shared" si="33"/>
        <v>-91.622418879056056</v>
      </c>
      <c r="M290" s="66">
        <f>+(M289-M287)/M287*100</f>
        <v>-6.8817204301075323</v>
      </c>
      <c r="N290" s="66">
        <f>+(N289-N287)/N287*100</f>
        <v>-16.557377049180324</v>
      </c>
      <c r="O290" s="66">
        <f>+(O289-O287)/O287*100</f>
        <v>14.814814814814813</v>
      </c>
      <c r="P290" s="66">
        <f>+(P289-P287)/P287*100</f>
        <v>7.4886574551453933</v>
      </c>
      <c r="S290" s="5"/>
    </row>
    <row r="291" spans="8:26">
      <c r="H291" s="444" t="s">
        <v>198</v>
      </c>
      <c r="I291" s="65">
        <v>336.09500000000003</v>
      </c>
      <c r="J291" s="65">
        <v>27.295000000000002</v>
      </c>
      <c r="K291" s="65">
        <v>83.418000000000006</v>
      </c>
      <c r="L291" s="65">
        <v>0.76</v>
      </c>
      <c r="M291" s="65">
        <v>0.82499999999999996</v>
      </c>
      <c r="N291" s="65">
        <v>0.65100000000000002</v>
      </c>
      <c r="O291" s="65">
        <f>0.159+4.958+15.452+1.156+0.119</f>
        <v>21.843999999999998</v>
      </c>
      <c r="P291" s="65">
        <v>470.88799999999998</v>
      </c>
      <c r="S291" s="5"/>
    </row>
    <row r="292" spans="8:26" ht="15.75" thickBot="1">
      <c r="H292" s="445"/>
      <c r="I292" s="225">
        <f>+(I291-I289)/I289*100</f>
        <v>8.4369807546500297</v>
      </c>
      <c r="J292" s="225">
        <f t="shared" ref="J292:L292" si="34">+(J291-J289)/J289*100</f>
        <v>10.667369445345443</v>
      </c>
      <c r="K292" s="225">
        <f t="shared" si="34"/>
        <v>42.128399100388478</v>
      </c>
      <c r="L292" s="225">
        <f t="shared" si="34"/>
        <v>167.60563380281693</v>
      </c>
      <c r="M292" s="225">
        <f>+(M291-M289)/M289*100</f>
        <v>-4.7344110854503505</v>
      </c>
      <c r="N292" s="225">
        <f>+(N291-N289)/N289*100</f>
        <v>27.897838899803538</v>
      </c>
      <c r="O292" s="225">
        <f>+(O291-O289)/O289*100</f>
        <v>-0.75420263516585151</v>
      </c>
      <c r="P292" s="225">
        <f>+(P291-P289)/P289*100</f>
        <v>12.930906300213433</v>
      </c>
      <c r="S292" s="5"/>
    </row>
    <row r="293" spans="8:26">
      <c r="H293" s="444" t="s">
        <v>268</v>
      </c>
      <c r="I293" s="65">
        <v>339.77800000000002</v>
      </c>
      <c r="J293" s="65">
        <v>28.849</v>
      </c>
      <c r="K293" s="65">
        <v>72.733000000000004</v>
      </c>
      <c r="L293" s="65">
        <v>0.43</v>
      </c>
      <c r="M293" s="65">
        <v>0.85599999999999998</v>
      </c>
      <c r="N293" s="65">
        <v>0.83499999999999996</v>
      </c>
      <c r="O293" s="65">
        <f>P293-N293-M293-L293-K293-J293-I293</f>
        <v>22.389999999999986</v>
      </c>
      <c r="P293" s="65">
        <v>465.87099999999998</v>
      </c>
      <c r="S293" s="5"/>
    </row>
    <row r="294" spans="8:26" ht="15.75" thickBot="1">
      <c r="H294" s="445"/>
      <c r="I294" s="225">
        <f>+(I293-I291)/I291*100</f>
        <v>1.0958211220041929</v>
      </c>
      <c r="J294" s="225">
        <f t="shared" ref="J294:L294" si="35">+(J293-J291)/J291*100</f>
        <v>5.6933504304817673</v>
      </c>
      <c r="K294" s="225">
        <f t="shared" si="35"/>
        <v>-12.808986070152725</v>
      </c>
      <c r="L294" s="225">
        <f t="shared" si="35"/>
        <v>-43.421052631578952</v>
      </c>
      <c r="M294" s="225">
        <f>+(M293-M291)/M291*100</f>
        <v>3.7575757575757609</v>
      </c>
      <c r="N294" s="225">
        <f>+(N293-N291)/N291*100</f>
        <v>28.264208909370193</v>
      </c>
      <c r="O294" s="225">
        <f>+(O293-O291)/O291*100</f>
        <v>2.4995422083866909</v>
      </c>
      <c r="P294" s="225">
        <f>+(P293-P291)/P291*100</f>
        <v>-1.0654338186575143</v>
      </c>
      <c r="S294" s="5"/>
    </row>
    <row r="295" spans="8:26" ht="14.45" customHeight="1">
      <c r="H295" s="448" t="s">
        <v>117</v>
      </c>
      <c r="I295" s="449"/>
      <c r="J295" s="449"/>
      <c r="K295" s="449"/>
      <c r="L295" s="449"/>
      <c r="M295" s="449"/>
      <c r="N295" s="449"/>
      <c r="O295" s="449"/>
      <c r="P295" s="450"/>
      <c r="Q295" s="224"/>
      <c r="R295" s="224"/>
      <c r="S295" s="5"/>
    </row>
    <row r="296" spans="8:26" ht="15" customHeight="1" thickBot="1">
      <c r="H296" s="451" t="s">
        <v>118</v>
      </c>
      <c r="I296" s="452"/>
      <c r="J296" s="452"/>
      <c r="K296" s="452"/>
      <c r="L296" s="452"/>
      <c r="M296" s="452"/>
      <c r="N296" s="452"/>
      <c r="O296" s="452"/>
      <c r="P296" s="453"/>
      <c r="Q296" s="224"/>
      <c r="R296" s="224"/>
      <c r="S296" s="5"/>
    </row>
    <row r="297" spans="8:26">
      <c r="I297" s="38">
        <f>+I293/$P$293*100</f>
        <v>72.933923768596898</v>
      </c>
      <c r="J297" s="38">
        <f>+J293/$P$293*100</f>
        <v>6.192486761356685</v>
      </c>
      <c r="K297" s="38">
        <f>+K293/$P$293*100</f>
        <v>15.612261763449538</v>
      </c>
      <c r="L297" s="38">
        <f>+L293/$P$293*100</f>
        <v>9.2300229033359021E-2</v>
      </c>
      <c r="M297" s="38">
        <f>+M293/$P$293*100</f>
        <v>0.18374185128501239</v>
      </c>
      <c r="N297" s="38">
        <f t="shared" ref="N297:P297" si="36">+N293/$P$293*100</f>
        <v>0.17923416568105763</v>
      </c>
      <c r="O297" s="38">
        <f t="shared" si="36"/>
        <v>4.8060514605974589</v>
      </c>
      <c r="P297" s="38">
        <f t="shared" si="36"/>
        <v>100</v>
      </c>
      <c r="Q297" s="38">
        <f>+P293/$P$293*100</f>
        <v>100</v>
      </c>
    </row>
    <row r="300" spans="8:26" ht="15.75" thickBot="1"/>
    <row r="301" spans="8:26" ht="34.15" customHeight="1">
      <c r="H301" s="456" t="s">
        <v>119</v>
      </c>
      <c r="I301" s="457"/>
      <c r="J301" s="457"/>
      <c r="K301" s="457"/>
      <c r="L301" s="457"/>
      <c r="M301" s="457"/>
      <c r="N301" s="457"/>
      <c r="O301" s="457"/>
      <c r="P301" s="458"/>
      <c r="Q301" s="144"/>
      <c r="R301" s="144"/>
      <c r="S301" s="5"/>
    </row>
    <row r="302" spans="8:26" ht="15.75" thickBot="1">
      <c r="H302" s="459"/>
      <c r="I302" s="460"/>
      <c r="J302" s="460"/>
      <c r="K302" s="460"/>
      <c r="L302" s="460"/>
      <c r="M302" s="460"/>
      <c r="N302" s="460"/>
      <c r="O302" s="460"/>
      <c r="P302" s="461"/>
      <c r="Q302" s="144"/>
      <c r="R302" s="144"/>
      <c r="S302" s="5"/>
    </row>
    <row r="303" spans="8:26" ht="15" customHeight="1" thickBot="1">
      <c r="H303" s="446" t="s">
        <v>0</v>
      </c>
      <c r="I303" s="454" t="s">
        <v>120</v>
      </c>
      <c r="J303" s="455"/>
      <c r="K303" s="455"/>
      <c r="L303" s="455"/>
      <c r="M303" s="455"/>
      <c r="N303" s="455"/>
      <c r="O303" s="455"/>
      <c r="P303" s="455"/>
      <c r="Q303" s="223"/>
      <c r="R303" s="223"/>
      <c r="S303" s="5"/>
    </row>
    <row r="304" spans="8:26" ht="15.75" thickBot="1">
      <c r="H304" s="447"/>
      <c r="I304" s="60" t="s">
        <v>121</v>
      </c>
      <c r="J304" s="60" t="s">
        <v>122</v>
      </c>
      <c r="K304" s="60" t="s">
        <v>113</v>
      </c>
      <c r="L304" s="60" t="s">
        <v>123</v>
      </c>
      <c r="M304" s="60" t="s">
        <v>115</v>
      </c>
      <c r="N304" s="60" t="s">
        <v>116</v>
      </c>
      <c r="O304" s="60" t="s">
        <v>4</v>
      </c>
      <c r="P304" s="60" t="s">
        <v>5</v>
      </c>
      <c r="S304" s="5">
        <v>339778</v>
      </c>
      <c r="T304">
        <v>28849</v>
      </c>
      <c r="U304">
        <v>72733</v>
      </c>
      <c r="V304">
        <v>430</v>
      </c>
      <c r="W304">
        <v>856</v>
      </c>
      <c r="X304">
        <v>835</v>
      </c>
      <c r="Z304">
        <v>465871</v>
      </c>
    </row>
    <row r="305" spans="8:20" ht="15.75" thickBot="1">
      <c r="H305" s="67" t="s">
        <v>7</v>
      </c>
      <c r="I305" s="68">
        <v>70.2</v>
      </c>
      <c r="J305" s="68">
        <v>8.9</v>
      </c>
      <c r="K305" s="68">
        <v>11</v>
      </c>
      <c r="L305" s="68">
        <v>6</v>
      </c>
      <c r="M305" s="68">
        <v>0.6</v>
      </c>
      <c r="N305" s="68">
        <v>2.5</v>
      </c>
      <c r="O305" s="68">
        <v>0.8</v>
      </c>
      <c r="P305" s="68">
        <v>100</v>
      </c>
      <c r="S305" s="5"/>
    </row>
    <row r="306" spans="8:20" ht="15.75" thickBot="1">
      <c r="H306" s="67" t="s">
        <v>8</v>
      </c>
      <c r="I306" s="68">
        <v>69</v>
      </c>
      <c r="J306" s="68">
        <v>7.4</v>
      </c>
      <c r="K306" s="68">
        <v>11.8</v>
      </c>
      <c r="L306" s="68">
        <v>7.8</v>
      </c>
      <c r="M306" s="68">
        <v>0.5</v>
      </c>
      <c r="N306" s="68">
        <v>2.7</v>
      </c>
      <c r="O306" s="68">
        <v>0.8</v>
      </c>
      <c r="P306" s="68">
        <v>100</v>
      </c>
      <c r="S306" s="5"/>
    </row>
    <row r="307" spans="8:20" ht="15.75" thickBot="1">
      <c r="H307" s="67" t="s">
        <v>9</v>
      </c>
      <c r="I307" s="68">
        <v>71</v>
      </c>
      <c r="J307" s="68">
        <v>6.3</v>
      </c>
      <c r="K307" s="68">
        <v>10.1</v>
      </c>
      <c r="L307" s="68">
        <v>7.7</v>
      </c>
      <c r="M307" s="68">
        <v>0.4</v>
      </c>
      <c r="N307" s="68">
        <v>3.5</v>
      </c>
      <c r="O307" s="68">
        <v>1</v>
      </c>
      <c r="P307" s="68">
        <v>100</v>
      </c>
      <c r="S307" s="5"/>
    </row>
    <row r="308" spans="8:20" ht="15.75" thickBot="1">
      <c r="H308" s="67" t="s">
        <v>10</v>
      </c>
      <c r="I308" s="68">
        <v>72.900000000000006</v>
      </c>
      <c r="J308" s="68">
        <v>5.5</v>
      </c>
      <c r="K308" s="68">
        <v>9.3000000000000007</v>
      </c>
      <c r="L308" s="68">
        <v>6.2</v>
      </c>
      <c r="M308" s="68">
        <v>0.5</v>
      </c>
      <c r="N308" s="68">
        <v>4.3</v>
      </c>
      <c r="O308" s="68">
        <v>1.3</v>
      </c>
      <c r="P308" s="68">
        <v>100</v>
      </c>
      <c r="S308" s="5"/>
    </row>
    <row r="309" spans="8:20" ht="15.75" thickBot="1">
      <c r="H309" s="67" t="s">
        <v>11</v>
      </c>
      <c r="I309" s="68">
        <v>71.7</v>
      </c>
      <c r="J309" s="68">
        <v>4.9000000000000004</v>
      </c>
      <c r="K309" s="68">
        <v>13.9</v>
      </c>
      <c r="L309" s="68">
        <v>5.6</v>
      </c>
      <c r="M309" s="68">
        <v>0.4</v>
      </c>
      <c r="N309" s="68">
        <v>2.2999999999999998</v>
      </c>
      <c r="O309" s="68">
        <v>1.2</v>
      </c>
      <c r="P309" s="68">
        <v>100</v>
      </c>
      <c r="S309" s="5"/>
    </row>
    <row r="310" spans="8:20" ht="15.75" thickBot="1">
      <c r="H310" s="67" t="s">
        <v>12</v>
      </c>
      <c r="I310" s="68">
        <v>71.2</v>
      </c>
      <c r="J310" s="68">
        <v>4.2</v>
      </c>
      <c r="K310" s="68">
        <v>15.1</v>
      </c>
      <c r="L310" s="68">
        <v>4.8</v>
      </c>
      <c r="M310" s="68">
        <v>0.4</v>
      </c>
      <c r="N310" s="68">
        <v>2.9</v>
      </c>
      <c r="O310" s="68">
        <v>1.4</v>
      </c>
      <c r="P310" s="68">
        <v>100</v>
      </c>
      <c r="S310" s="5"/>
    </row>
    <row r="311" spans="8:20" ht="15.75" thickBot="1">
      <c r="H311" s="67" t="s">
        <v>13</v>
      </c>
      <c r="I311" s="68">
        <v>73.2</v>
      </c>
      <c r="J311" s="68">
        <v>4.7</v>
      </c>
      <c r="K311" s="68">
        <v>13.7</v>
      </c>
      <c r="L311" s="68">
        <v>4.5999999999999996</v>
      </c>
      <c r="M311" s="68">
        <v>0.5</v>
      </c>
      <c r="N311" s="68">
        <v>1</v>
      </c>
      <c r="O311" s="68">
        <v>2.2000000000000002</v>
      </c>
      <c r="P311" s="68">
        <v>100</v>
      </c>
      <c r="S311" s="5"/>
    </row>
    <row r="312" spans="8:20" ht="15.75" thickBot="1">
      <c r="H312" s="67" t="s">
        <v>14</v>
      </c>
      <c r="I312" s="68">
        <v>73.2</v>
      </c>
      <c r="J312" s="68">
        <v>5.6</v>
      </c>
      <c r="K312" s="68">
        <v>13</v>
      </c>
      <c r="L312" s="68">
        <v>4.0999999999999996</v>
      </c>
      <c r="M312" s="68">
        <v>0.3</v>
      </c>
      <c r="N312" s="68">
        <v>0.2</v>
      </c>
      <c r="O312" s="68">
        <v>3.6</v>
      </c>
      <c r="P312" s="68">
        <v>100</v>
      </c>
      <c r="S312" s="5"/>
    </row>
    <row r="313" spans="8:20" ht="15.75" thickBot="1">
      <c r="H313" s="67" t="s">
        <v>15</v>
      </c>
      <c r="I313" s="70">
        <v>74.2</v>
      </c>
      <c r="J313" s="70">
        <v>6.2</v>
      </c>
      <c r="K313" s="70">
        <v>13.4</v>
      </c>
      <c r="L313" s="70">
        <v>0.9</v>
      </c>
      <c r="M313" s="70">
        <v>0.2</v>
      </c>
      <c r="N313" s="70">
        <v>0.2</v>
      </c>
      <c r="O313" s="70">
        <v>4.9000000000000004</v>
      </c>
      <c r="P313" s="70">
        <v>100</v>
      </c>
      <c r="S313" s="5"/>
    </row>
    <row r="314" spans="8:20" ht="15.75" thickBot="1">
      <c r="H314" s="69" t="s">
        <v>64</v>
      </c>
      <c r="I314" s="71">
        <v>74.33268580473414</v>
      </c>
      <c r="J314" s="71">
        <v>5.9150538408038944</v>
      </c>
      <c r="K314" s="71">
        <v>14.075832793726168</v>
      </c>
      <c r="L314" s="71">
        <v>6.8110415617430503E-2</v>
      </c>
      <c r="M314" s="71">
        <v>0.2076888025517423</v>
      </c>
      <c r="N314" s="71">
        <v>0.12207113221574693</v>
      </c>
      <c r="O314" s="71">
        <v>5.2785572103508649</v>
      </c>
      <c r="P314" s="72">
        <v>100</v>
      </c>
      <c r="S314" s="5"/>
    </row>
    <row r="315" spans="8:20" ht="15.75" thickBot="1">
      <c r="H315" s="285" t="s">
        <v>198</v>
      </c>
      <c r="I315" s="286">
        <v>71.374721802212008</v>
      </c>
      <c r="J315" s="286">
        <v>5.7964951326005343</v>
      </c>
      <c r="K315" s="286">
        <v>17.71504051918928</v>
      </c>
      <c r="L315" s="286">
        <v>0.1613971899899764</v>
      </c>
      <c r="M315" s="286">
        <v>0.17520089702859279</v>
      </c>
      <c r="N315" s="286">
        <v>0.13824943510983503</v>
      </c>
      <c r="O315" s="287">
        <v>4.6388950238697948</v>
      </c>
      <c r="P315" s="288">
        <v>100</v>
      </c>
      <c r="S315" s="5"/>
    </row>
    <row r="316" spans="8:20" ht="15.75" thickBot="1">
      <c r="H316" s="285" t="s">
        <v>268</v>
      </c>
      <c r="I316" s="286">
        <v>72.933923768596898</v>
      </c>
      <c r="J316" s="286">
        <v>6.192486761356685</v>
      </c>
      <c r="K316" s="286">
        <v>15.612261763449538</v>
      </c>
      <c r="L316" s="286">
        <v>9.2300229033359021E-2</v>
      </c>
      <c r="M316" s="286">
        <v>0.18374185128501239</v>
      </c>
      <c r="N316" s="286">
        <v>0.17923416568105763</v>
      </c>
      <c r="O316" s="287">
        <v>4.8060514605974589</v>
      </c>
      <c r="P316" s="288">
        <v>100</v>
      </c>
      <c r="Q316" s="281">
        <v>100</v>
      </c>
      <c r="S316" s="5"/>
    </row>
    <row r="317" spans="8:20" ht="15" customHeight="1" thickBot="1">
      <c r="H317" s="468" t="s">
        <v>124</v>
      </c>
      <c r="I317" s="469"/>
      <c r="J317" s="469"/>
      <c r="K317" s="469"/>
      <c r="L317" s="469"/>
      <c r="M317" s="469"/>
      <c r="N317" s="469"/>
      <c r="O317" s="469"/>
      <c r="P317" s="470"/>
      <c r="Q317" s="197"/>
      <c r="R317" s="198"/>
      <c r="S317" s="5"/>
    </row>
    <row r="319" spans="8:20" ht="15.75" thickBot="1"/>
    <row r="320" spans="8:20" ht="15" customHeight="1" thickBot="1">
      <c r="H320" s="462" t="s">
        <v>125</v>
      </c>
      <c r="I320" s="463"/>
      <c r="J320" s="463"/>
      <c r="K320" s="463"/>
      <c r="L320" s="463"/>
      <c r="M320" s="463"/>
      <c r="N320" s="463"/>
      <c r="O320" s="463"/>
      <c r="P320" s="463"/>
      <c r="Q320" s="463"/>
      <c r="R320" s="464"/>
      <c r="S320" s="144"/>
      <c r="T320" s="144"/>
    </row>
    <row r="321" spans="8:20" ht="15" customHeight="1" thickBot="1">
      <c r="H321" s="442" t="s">
        <v>0</v>
      </c>
      <c r="I321" s="465" t="s">
        <v>126</v>
      </c>
      <c r="J321" s="466"/>
      <c r="K321" s="466"/>
      <c r="L321" s="466"/>
      <c r="M321" s="466"/>
      <c r="N321" s="466"/>
      <c r="O321" s="466"/>
      <c r="P321" s="466"/>
      <c r="Q321" s="466"/>
      <c r="R321" s="467"/>
      <c r="S321" s="144"/>
      <c r="T321" s="144"/>
    </row>
    <row r="322" spans="8:20" ht="36.75" thickBot="1">
      <c r="H322" s="443"/>
      <c r="I322" s="226" t="s">
        <v>127</v>
      </c>
      <c r="J322" s="226" t="s">
        <v>128</v>
      </c>
      <c r="K322" s="226" t="s">
        <v>129</v>
      </c>
      <c r="L322" s="226" t="s">
        <v>130</v>
      </c>
      <c r="M322" s="226" t="s">
        <v>131</v>
      </c>
      <c r="N322" s="226" t="s">
        <v>132</v>
      </c>
      <c r="O322" s="226" t="s">
        <v>133</v>
      </c>
      <c r="P322" s="226" t="s">
        <v>134</v>
      </c>
      <c r="Q322" s="226" t="s">
        <v>4</v>
      </c>
      <c r="R322" s="227" t="s">
        <v>5</v>
      </c>
    </row>
    <row r="323" spans="8:20" ht="15.75" thickBot="1">
      <c r="H323" s="73" t="s">
        <v>7</v>
      </c>
      <c r="I323" s="74">
        <v>51.51</v>
      </c>
      <c r="J323" s="74">
        <v>11.64</v>
      </c>
      <c r="K323" s="74">
        <v>4.5999999999999996</v>
      </c>
      <c r="L323" s="74">
        <v>3.24</v>
      </c>
      <c r="M323" s="74">
        <v>3.93</v>
      </c>
      <c r="N323" s="74">
        <v>6.04</v>
      </c>
      <c r="O323" s="74">
        <v>6.52</v>
      </c>
      <c r="P323" s="74">
        <v>2.0699999999999998</v>
      </c>
      <c r="Q323" s="74">
        <v>6.59</v>
      </c>
      <c r="R323" s="74">
        <v>96.14</v>
      </c>
    </row>
    <row r="324" spans="8:20" ht="15.75" thickBot="1">
      <c r="H324" s="73" t="s">
        <v>8</v>
      </c>
      <c r="I324" s="74">
        <v>52.18</v>
      </c>
      <c r="J324" s="74">
        <v>13.32</v>
      </c>
      <c r="K324" s="74">
        <v>4.3600000000000003</v>
      </c>
      <c r="L324" s="74">
        <v>4.4400000000000004</v>
      </c>
      <c r="M324" s="74">
        <v>3.85</v>
      </c>
      <c r="N324" s="74">
        <v>8.16</v>
      </c>
      <c r="O324" s="74">
        <v>8.84</v>
      </c>
      <c r="P324" s="74">
        <v>2.0099999999999998</v>
      </c>
      <c r="Q324" s="74">
        <v>6.37</v>
      </c>
      <c r="R324" s="74">
        <v>103.53</v>
      </c>
    </row>
    <row r="325" spans="8:20" ht="15.75" thickBot="1">
      <c r="H325" s="73" t="s">
        <v>9</v>
      </c>
      <c r="I325" s="74">
        <v>60.25</v>
      </c>
      <c r="J325" s="74">
        <v>14.27</v>
      </c>
      <c r="K325" s="74">
        <v>5.5</v>
      </c>
      <c r="L325" s="74">
        <v>4.16</v>
      </c>
      <c r="M325" s="74">
        <v>4.08</v>
      </c>
      <c r="N325" s="74">
        <v>19.72</v>
      </c>
      <c r="O325" s="74">
        <v>10.09</v>
      </c>
      <c r="P325" s="74">
        <v>3.66</v>
      </c>
      <c r="Q325" s="74">
        <v>9.5399999999999991</v>
      </c>
      <c r="R325" s="74">
        <v>131.27000000000001</v>
      </c>
    </row>
    <row r="326" spans="8:20" ht="15.75" thickBot="1">
      <c r="H326" s="73" t="s">
        <v>10</v>
      </c>
      <c r="I326" s="74">
        <v>61.88</v>
      </c>
      <c r="J326" s="74">
        <v>14.17</v>
      </c>
      <c r="K326" s="74">
        <v>8.69</v>
      </c>
      <c r="L326" s="74">
        <v>5.3</v>
      </c>
      <c r="M326" s="74">
        <v>3.79</v>
      </c>
      <c r="N326" s="74">
        <v>19.850000000000001</v>
      </c>
      <c r="O326" s="74">
        <v>11.44</v>
      </c>
      <c r="P326" s="74">
        <v>1.65</v>
      </c>
      <c r="Q326" s="74">
        <v>23.75</v>
      </c>
      <c r="R326" s="74">
        <v>150.52000000000001</v>
      </c>
    </row>
    <row r="327" spans="8:20" ht="15.75" thickBot="1">
      <c r="H327" s="73" t="s">
        <v>11</v>
      </c>
      <c r="I327" s="74">
        <v>65.28</v>
      </c>
      <c r="J327" s="74">
        <v>14.05</v>
      </c>
      <c r="K327" s="74">
        <v>4.8099999999999996</v>
      </c>
      <c r="L327" s="74">
        <v>2.6</v>
      </c>
      <c r="M327" s="74">
        <v>3.43</v>
      </c>
      <c r="N327" s="74">
        <v>35.619999999999997</v>
      </c>
      <c r="O327" s="74">
        <v>11</v>
      </c>
      <c r="P327" s="74">
        <v>3.71</v>
      </c>
      <c r="Q327" s="74">
        <v>12.31</v>
      </c>
      <c r="R327" s="74">
        <v>152.81</v>
      </c>
    </row>
    <row r="328" spans="8:20" ht="15.75" thickBot="1">
      <c r="H328" s="73" t="s">
        <v>12</v>
      </c>
      <c r="I328" s="74">
        <v>107.19</v>
      </c>
      <c r="J328" s="74">
        <v>16.29</v>
      </c>
      <c r="K328" s="74">
        <v>5.45</v>
      </c>
      <c r="L328" s="74">
        <v>2.04</v>
      </c>
      <c r="M328" s="74">
        <v>3.17</v>
      </c>
      <c r="N328" s="74">
        <v>39.6</v>
      </c>
      <c r="O328" s="74">
        <v>12.53</v>
      </c>
      <c r="P328" s="74">
        <v>6.85</v>
      </c>
      <c r="Q328" s="74">
        <v>12.46</v>
      </c>
      <c r="R328" s="74">
        <v>205.58</v>
      </c>
    </row>
    <row r="329" spans="8:20" ht="15.75" thickBot="1">
      <c r="H329" s="73" t="s">
        <v>13</v>
      </c>
      <c r="I329" s="74">
        <v>115.41</v>
      </c>
      <c r="J329" s="74">
        <v>18.52</v>
      </c>
      <c r="K329" s="74">
        <v>4.46</v>
      </c>
      <c r="L329" s="74">
        <v>2.12</v>
      </c>
      <c r="M329" s="74">
        <v>3.85</v>
      </c>
      <c r="N329" s="74">
        <v>51.91</v>
      </c>
      <c r="O329" s="74">
        <v>14.31</v>
      </c>
      <c r="P329" s="74">
        <v>7.82</v>
      </c>
      <c r="Q329" s="74">
        <v>12.51</v>
      </c>
      <c r="R329" s="74">
        <v>230.91</v>
      </c>
    </row>
    <row r="330" spans="8:20" ht="15.75" thickBot="1">
      <c r="H330" s="73" t="s">
        <v>14</v>
      </c>
      <c r="I330" s="74">
        <v>118.04</v>
      </c>
      <c r="J330" s="74">
        <v>20.38</v>
      </c>
      <c r="K330" s="74">
        <v>4.12</v>
      </c>
      <c r="L330" s="74">
        <v>2.72</v>
      </c>
      <c r="M330" s="74">
        <v>3.82</v>
      </c>
      <c r="N330" s="74">
        <v>64.790000000000006</v>
      </c>
      <c r="O330" s="74">
        <v>17.62</v>
      </c>
      <c r="P330" s="74">
        <v>9.27</v>
      </c>
      <c r="Q330" s="74">
        <v>18.29</v>
      </c>
      <c r="R330" s="74">
        <v>259.05</v>
      </c>
    </row>
    <row r="331" spans="8:20" ht="15.75" thickBot="1">
      <c r="H331" s="73" t="s">
        <v>15</v>
      </c>
      <c r="I331" s="74">
        <v>124.52</v>
      </c>
      <c r="J331" s="74">
        <v>22.67</v>
      </c>
      <c r="K331" s="74">
        <v>3.41</v>
      </c>
      <c r="L331" s="74">
        <v>6.7</v>
      </c>
      <c r="M331" s="74">
        <v>3.45</v>
      </c>
      <c r="N331" s="74">
        <v>76.94</v>
      </c>
      <c r="O331" s="74">
        <v>22.26</v>
      </c>
      <c r="P331" s="74">
        <v>8.06</v>
      </c>
      <c r="Q331" s="74">
        <v>19.809999999999999</v>
      </c>
      <c r="R331" s="74">
        <v>287.82</v>
      </c>
    </row>
    <row r="332" spans="8:20" ht="15.75" thickBot="1">
      <c r="H332" s="73" t="s">
        <v>64</v>
      </c>
      <c r="I332" s="74">
        <v>125.23</v>
      </c>
      <c r="J332" s="74">
        <v>19.54</v>
      </c>
      <c r="K332" s="74">
        <v>3.43</v>
      </c>
      <c r="L332" s="74">
        <v>7.75</v>
      </c>
      <c r="M332" s="74">
        <v>3.11</v>
      </c>
      <c r="N332" s="74">
        <v>96.22</v>
      </c>
      <c r="O332" s="74">
        <v>21.62</v>
      </c>
      <c r="P332" s="74">
        <v>9.07</v>
      </c>
      <c r="Q332" s="78">
        <f>+R332-I332-J332-K332-L332-M332-N332-O332-P332</f>
        <v>23.974999999999959</v>
      </c>
      <c r="R332" s="78">
        <v>309.94499999999999</v>
      </c>
    </row>
    <row r="333" spans="8:20" ht="15.75" thickBot="1">
      <c r="H333" s="73" t="s">
        <v>198</v>
      </c>
      <c r="I333" s="78">
        <f>115.297+9.085</f>
        <v>124.38200000000001</v>
      </c>
      <c r="J333" s="78">
        <f>10.751+9.721</f>
        <v>20.472000000000001</v>
      </c>
      <c r="K333" s="78">
        <f>1.086+2.667</f>
        <v>3.7530000000000001</v>
      </c>
      <c r="L333" s="78">
        <f>8.582+0.003</f>
        <v>8.5850000000000009</v>
      </c>
      <c r="M333" s="78">
        <f>0.902+2.361</f>
        <v>3.2630000000000003</v>
      </c>
      <c r="N333" s="78">
        <f>99.618+6.238</f>
        <v>105.85599999999999</v>
      </c>
      <c r="O333" s="78">
        <f>26.226+0.861</f>
        <v>27.087</v>
      </c>
      <c r="P333" s="78">
        <f>11.014+0.07</f>
        <v>11.084</v>
      </c>
      <c r="Q333" s="78">
        <f>+R333-I333-J333-K333-L333-M333-N333-O333-P333</f>
        <v>31.612999999999989</v>
      </c>
      <c r="R333" s="78">
        <v>336.09500000000003</v>
      </c>
    </row>
    <row r="334" spans="8:20" ht="15.75" thickBot="1">
      <c r="H334" s="73" t="s">
        <v>268</v>
      </c>
      <c r="I334" s="78">
        <f>116.529+10.998</f>
        <v>127.527</v>
      </c>
      <c r="J334" s="78">
        <f>10.566+11.095</f>
        <v>21.661000000000001</v>
      </c>
      <c r="K334" s="78">
        <f>1.275+2.419</f>
        <v>3.694</v>
      </c>
      <c r="L334" s="78">
        <v>8.3480000000000008</v>
      </c>
      <c r="M334" s="78">
        <f>2.829+0.326</f>
        <v>3.1550000000000002</v>
      </c>
      <c r="N334" s="78">
        <f>99.768+3.706</f>
        <v>103.474</v>
      </c>
      <c r="O334" s="78">
        <f>23.481+1.433</f>
        <v>24.914000000000001</v>
      </c>
      <c r="P334" s="78">
        <v>9.1240000000000006</v>
      </c>
      <c r="Q334" s="78">
        <f>+R334-I334-J334-K334-L334-M334-N334-O334-P334</f>
        <v>37.881000000000022</v>
      </c>
      <c r="R334" s="78">
        <v>339.77800000000002</v>
      </c>
    </row>
    <row r="335" spans="8:20">
      <c r="H335" s="75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</row>
    <row r="336" spans="8:20" ht="15.75" thickBot="1"/>
    <row r="337" spans="8:18" ht="14.45" customHeight="1">
      <c r="H337" s="564" t="s">
        <v>135</v>
      </c>
      <c r="I337" s="565"/>
      <c r="J337" s="565"/>
      <c r="K337" s="565"/>
      <c r="L337" s="565"/>
      <c r="M337" s="565"/>
      <c r="N337" s="565"/>
      <c r="O337" s="566"/>
      <c r="P337" s="173"/>
      <c r="Q337" s="173"/>
      <c r="R337" s="5"/>
    </row>
    <row r="338" spans="8:18" ht="15" customHeight="1" thickBot="1">
      <c r="H338" s="567"/>
      <c r="I338" s="568"/>
      <c r="J338" s="568"/>
      <c r="K338" s="568"/>
      <c r="L338" s="568"/>
      <c r="M338" s="568"/>
      <c r="N338" s="568"/>
      <c r="O338" s="569"/>
      <c r="P338" s="173"/>
      <c r="Q338" s="173"/>
      <c r="R338" s="5"/>
    </row>
    <row r="339" spans="8:18" ht="15" customHeight="1" thickBot="1">
      <c r="H339" s="648" t="s">
        <v>0</v>
      </c>
      <c r="I339" s="478" t="s">
        <v>32</v>
      </c>
      <c r="J339" s="479"/>
      <c r="K339" s="479"/>
      <c r="L339" s="479"/>
      <c r="M339" s="479"/>
      <c r="N339" s="479"/>
      <c r="O339" s="570"/>
      <c r="P339" s="228"/>
      <c r="Q339" s="228"/>
      <c r="R339" s="5"/>
    </row>
    <row r="340" spans="8:18" ht="30">
      <c r="H340" s="649"/>
      <c r="I340" s="651" t="s">
        <v>136</v>
      </c>
      <c r="J340" s="651" t="s">
        <v>2</v>
      </c>
      <c r="K340" s="653" t="s">
        <v>137</v>
      </c>
      <c r="L340" s="79" t="s">
        <v>18</v>
      </c>
      <c r="M340" s="648" t="s">
        <v>34</v>
      </c>
      <c r="N340" s="651" t="s">
        <v>4</v>
      </c>
      <c r="O340" s="661" t="s">
        <v>5</v>
      </c>
      <c r="R340" s="647"/>
    </row>
    <row r="341" spans="8:18" ht="15.75" thickBot="1">
      <c r="H341" s="650"/>
      <c r="I341" s="652"/>
      <c r="J341" s="652"/>
      <c r="K341" s="654"/>
      <c r="L341" s="80" t="s">
        <v>138</v>
      </c>
      <c r="M341" s="650"/>
      <c r="N341" s="652"/>
      <c r="O341" s="662"/>
      <c r="R341" s="647"/>
    </row>
    <row r="342" spans="8:18" ht="15.75" thickBot="1">
      <c r="H342" s="11" t="s">
        <v>7</v>
      </c>
      <c r="I342" s="43">
        <v>56.48</v>
      </c>
      <c r="J342" s="43">
        <v>9.93</v>
      </c>
      <c r="K342" s="43">
        <v>11.51</v>
      </c>
      <c r="L342" s="43">
        <v>2.34</v>
      </c>
      <c r="M342" s="43">
        <v>4.05</v>
      </c>
      <c r="N342" s="43">
        <v>11.83</v>
      </c>
      <c r="O342" s="43">
        <v>96.14</v>
      </c>
      <c r="R342" s="5"/>
    </row>
    <row r="343" spans="8:18" ht="15.75" thickBot="1">
      <c r="H343" s="11" t="s">
        <v>8</v>
      </c>
      <c r="I343" s="43">
        <v>60.15</v>
      </c>
      <c r="J343" s="43">
        <v>10.54</v>
      </c>
      <c r="K343" s="43">
        <v>11</v>
      </c>
      <c r="L343" s="43">
        <v>3.64</v>
      </c>
      <c r="M343" s="43">
        <v>5.19</v>
      </c>
      <c r="N343" s="43">
        <v>13.01</v>
      </c>
      <c r="O343" s="43">
        <v>103.53</v>
      </c>
      <c r="R343" s="5"/>
    </row>
    <row r="344" spans="8:18" ht="15.75" thickBot="1">
      <c r="H344" s="11" t="s">
        <v>9</v>
      </c>
      <c r="I344" s="43">
        <v>71.16</v>
      </c>
      <c r="J344" s="43">
        <v>11.31</v>
      </c>
      <c r="K344" s="43">
        <v>11.23</v>
      </c>
      <c r="L344" s="43">
        <v>4.21</v>
      </c>
      <c r="M344" s="43">
        <v>5.71</v>
      </c>
      <c r="N344" s="43">
        <v>27.65</v>
      </c>
      <c r="O344" s="43">
        <v>131.27000000000001</v>
      </c>
      <c r="R344" s="5"/>
    </row>
    <row r="345" spans="8:18" ht="15.75" thickBot="1">
      <c r="H345" s="11" t="s">
        <v>10</v>
      </c>
      <c r="I345" s="43">
        <v>80.48</v>
      </c>
      <c r="J345" s="43">
        <v>13.31</v>
      </c>
      <c r="K345" s="43">
        <v>12.43</v>
      </c>
      <c r="L345" s="43">
        <v>4.3600000000000003</v>
      </c>
      <c r="M345" s="43" t="s">
        <v>139</v>
      </c>
      <c r="N345" s="43">
        <v>33.86</v>
      </c>
      <c r="O345" s="43">
        <v>150.52000000000001</v>
      </c>
      <c r="R345" s="5"/>
    </row>
    <row r="346" spans="8:18" ht="15.75" thickBot="1">
      <c r="H346" s="11" t="s">
        <v>11</v>
      </c>
      <c r="I346" s="43">
        <v>87.38</v>
      </c>
      <c r="J346" s="43">
        <v>16.46</v>
      </c>
      <c r="K346" s="43">
        <v>9.59</v>
      </c>
      <c r="L346" s="43">
        <v>5.09</v>
      </c>
      <c r="M346" s="43">
        <v>5.9</v>
      </c>
      <c r="N346" s="43">
        <v>28.39</v>
      </c>
      <c r="O346" s="43">
        <v>152.81</v>
      </c>
      <c r="R346" s="5"/>
    </row>
    <row r="347" spans="8:18" ht="15.75" thickBot="1">
      <c r="H347" s="11" t="s">
        <v>12</v>
      </c>
      <c r="I347" s="43">
        <v>132.82</v>
      </c>
      <c r="J347" s="43">
        <v>21.64</v>
      </c>
      <c r="K347" s="43">
        <v>9.32</v>
      </c>
      <c r="L347" s="43">
        <v>5.0199999999999996</v>
      </c>
      <c r="M347" s="43">
        <v>6.84</v>
      </c>
      <c r="N347" s="43">
        <v>29.94</v>
      </c>
      <c r="O347" s="43">
        <v>205.58</v>
      </c>
      <c r="R347" s="5"/>
    </row>
    <row r="348" spans="8:18" ht="15.75" thickBot="1">
      <c r="H348" s="11" t="s">
        <v>13</v>
      </c>
      <c r="I348" s="43">
        <v>140.87</v>
      </c>
      <c r="J348" s="43">
        <v>29.73</v>
      </c>
      <c r="K348" s="43">
        <v>8.8000000000000007</v>
      </c>
      <c r="L348" s="43">
        <v>6.09</v>
      </c>
      <c r="M348" s="43">
        <v>7.16</v>
      </c>
      <c r="N348" s="43">
        <v>38.26</v>
      </c>
      <c r="O348" s="43">
        <v>230.91</v>
      </c>
      <c r="R348" s="5"/>
    </row>
    <row r="349" spans="8:18" ht="15.75" thickBot="1">
      <c r="H349" s="81" t="s">
        <v>14</v>
      </c>
      <c r="I349" s="82">
        <v>151.49</v>
      </c>
      <c r="J349" s="82">
        <v>38.369999999999997</v>
      </c>
      <c r="K349" s="82">
        <v>9.02</v>
      </c>
      <c r="L349" s="82">
        <v>7.19</v>
      </c>
      <c r="M349" s="82">
        <v>6.92</v>
      </c>
      <c r="N349" s="82">
        <v>46.06</v>
      </c>
      <c r="O349" s="82">
        <v>259.05</v>
      </c>
      <c r="R349" s="5"/>
    </row>
    <row r="350" spans="8:18" ht="15.75" thickBot="1">
      <c r="H350" s="84" t="s">
        <v>15</v>
      </c>
      <c r="I350" s="85">
        <v>165.14</v>
      </c>
      <c r="J350" s="85">
        <v>54.34</v>
      </c>
      <c r="K350" s="85">
        <v>8.41</v>
      </c>
      <c r="L350" s="85">
        <v>6.42</v>
      </c>
      <c r="M350" s="85">
        <v>7.64</v>
      </c>
      <c r="N350" s="85">
        <v>45.89</v>
      </c>
      <c r="O350" s="86">
        <v>287.82</v>
      </c>
      <c r="R350" s="5"/>
    </row>
    <row r="351" spans="8:18" ht="15.75" thickBot="1">
      <c r="H351" s="67" t="s">
        <v>64</v>
      </c>
      <c r="I351" s="42">
        <v>165.58</v>
      </c>
      <c r="J351" s="42">
        <v>65.760000000000005</v>
      </c>
      <c r="K351" s="83">
        <v>10</v>
      </c>
      <c r="L351" s="42">
        <v>5.95</v>
      </c>
      <c r="M351" s="42">
        <v>5.17</v>
      </c>
      <c r="N351" s="42">
        <v>57.49</v>
      </c>
      <c r="O351" s="42">
        <v>309.95</v>
      </c>
      <c r="R351" s="5"/>
    </row>
    <row r="352" spans="8:18" ht="15.75" thickBot="1">
      <c r="H352" s="67" t="s">
        <v>198</v>
      </c>
      <c r="I352" s="83">
        <v>163.631</v>
      </c>
      <c r="J352" s="83">
        <v>79.986999999999995</v>
      </c>
      <c r="K352" s="83">
        <v>8.9250000000000007</v>
      </c>
      <c r="L352" s="83">
        <v>7.5289999999999999</v>
      </c>
      <c r="M352" s="83">
        <v>5.6319999999999997</v>
      </c>
      <c r="N352" s="83">
        <v>70.391000000000005</v>
      </c>
      <c r="O352" s="83">
        <v>336.09500000000003</v>
      </c>
      <c r="R352" s="5"/>
    </row>
    <row r="353" spans="8:18" ht="15.75" thickBot="1">
      <c r="H353" s="67" t="s">
        <v>268</v>
      </c>
      <c r="I353" s="83">
        <v>174.875</v>
      </c>
      <c r="J353" s="83">
        <v>65.903000000000006</v>
      </c>
      <c r="K353" s="83">
        <v>9.0749999999999993</v>
      </c>
      <c r="L353" s="83">
        <v>10.331</v>
      </c>
      <c r="M353" s="83">
        <v>7.5110000000000001</v>
      </c>
      <c r="N353" s="83">
        <f>O353-M353-L353-K353-J353-I353</f>
        <v>72.08299999999997</v>
      </c>
      <c r="O353" s="83">
        <v>339.77800000000002</v>
      </c>
      <c r="R353" s="5"/>
    </row>
    <row r="356" spans="8:18" ht="15.75" thickBot="1"/>
    <row r="357" spans="8:18" ht="27.6" customHeight="1" thickBot="1">
      <c r="H357" s="571" t="s">
        <v>140</v>
      </c>
      <c r="I357" s="572"/>
      <c r="J357" s="572"/>
      <c r="K357" s="572"/>
      <c r="L357" s="572"/>
      <c r="M357" s="572"/>
      <c r="N357" s="573"/>
      <c r="O357" s="229"/>
      <c r="P357" s="229"/>
    </row>
    <row r="358" spans="8:18" ht="15" customHeight="1" thickBot="1">
      <c r="H358" s="699" t="s">
        <v>0</v>
      </c>
      <c r="I358" s="547" t="s">
        <v>141</v>
      </c>
      <c r="J358" s="548"/>
      <c r="K358" s="548"/>
      <c r="L358" s="548"/>
      <c r="M358" s="548"/>
      <c r="N358" s="549"/>
      <c r="O358" s="230"/>
      <c r="P358" s="230"/>
    </row>
    <row r="359" spans="8:18">
      <c r="H359" s="700"/>
      <c r="I359" s="643" t="s">
        <v>142</v>
      </c>
      <c r="J359" s="89" t="s">
        <v>143</v>
      </c>
      <c r="K359" s="643" t="s">
        <v>145</v>
      </c>
      <c r="L359" s="89" t="s">
        <v>146</v>
      </c>
      <c r="M359" s="89" t="s">
        <v>148</v>
      </c>
      <c r="N359" s="645" t="s">
        <v>5</v>
      </c>
    </row>
    <row r="360" spans="8:18" ht="15.75" thickBot="1">
      <c r="H360" s="701"/>
      <c r="I360" s="644"/>
      <c r="J360" s="231" t="s">
        <v>144</v>
      </c>
      <c r="K360" s="644"/>
      <c r="L360" s="231" t="s">
        <v>147</v>
      </c>
      <c r="M360" s="231" t="s">
        <v>149</v>
      </c>
      <c r="N360" s="646"/>
    </row>
    <row r="361" spans="8:18" ht="15.75" thickBot="1">
      <c r="H361" s="90" t="s">
        <v>7</v>
      </c>
      <c r="I361" s="31">
        <v>2.84</v>
      </c>
      <c r="J361" s="31">
        <v>1.76</v>
      </c>
      <c r="K361" s="31">
        <v>10.47</v>
      </c>
      <c r="L361" s="31" t="s">
        <v>56</v>
      </c>
      <c r="M361" s="31" t="s">
        <v>56</v>
      </c>
      <c r="N361" s="31">
        <v>15.07</v>
      </c>
    </row>
    <row r="362" spans="8:18" ht="15.75" thickBot="1">
      <c r="H362" s="90" t="s">
        <v>8</v>
      </c>
      <c r="I362" s="31">
        <v>2.66</v>
      </c>
      <c r="J362" s="31">
        <v>2.83</v>
      </c>
      <c r="K362" s="31">
        <v>12.18</v>
      </c>
      <c r="L362" s="31" t="s">
        <v>56</v>
      </c>
      <c r="M362" s="31" t="s">
        <v>56</v>
      </c>
      <c r="N362" s="31">
        <v>17.670000000000002</v>
      </c>
    </row>
    <row r="363" spans="8:18" ht="15.75" thickBot="1">
      <c r="H363" s="90" t="s">
        <v>150</v>
      </c>
      <c r="I363" s="31">
        <v>2.65</v>
      </c>
      <c r="J363" s="31">
        <v>3.78</v>
      </c>
      <c r="K363" s="31">
        <v>12.18</v>
      </c>
      <c r="L363" s="31" t="s">
        <v>56</v>
      </c>
      <c r="M363" s="31" t="s">
        <v>56</v>
      </c>
      <c r="N363" s="31">
        <v>18.61</v>
      </c>
    </row>
    <row r="364" spans="8:18" ht="15.75" thickBot="1">
      <c r="H364" s="90" t="s">
        <v>10</v>
      </c>
      <c r="I364" s="31">
        <v>2.63</v>
      </c>
      <c r="J364" s="31">
        <v>4.0199999999999996</v>
      </c>
      <c r="K364" s="31">
        <v>12.64</v>
      </c>
      <c r="L364" s="31" t="s">
        <v>56</v>
      </c>
      <c r="M364" s="31" t="s">
        <v>56</v>
      </c>
      <c r="N364" s="31">
        <v>19.29</v>
      </c>
    </row>
    <row r="365" spans="8:18" ht="15.75" thickBot="1">
      <c r="H365" s="90" t="s">
        <v>11</v>
      </c>
      <c r="I365" s="31">
        <v>2.1800000000000002</v>
      </c>
      <c r="J365" s="31">
        <v>2.19</v>
      </c>
      <c r="K365" s="31">
        <v>14.51</v>
      </c>
      <c r="L365" s="31">
        <v>2.63</v>
      </c>
      <c r="M365" s="31">
        <v>8.2100000000000009</v>
      </c>
      <c r="N365" s="31">
        <v>29.72</v>
      </c>
    </row>
    <row r="366" spans="8:18" ht="15.75" thickBot="1">
      <c r="H366" s="90" t="s">
        <v>12</v>
      </c>
      <c r="I366" s="31">
        <v>1.85</v>
      </c>
      <c r="J366" s="31">
        <v>0.82</v>
      </c>
      <c r="K366" s="31">
        <v>11.94</v>
      </c>
      <c r="L366" s="31">
        <v>12.95</v>
      </c>
      <c r="M366" s="31">
        <v>16.13</v>
      </c>
      <c r="N366" s="31">
        <v>43.69</v>
      </c>
    </row>
    <row r="367" spans="8:18" ht="15.75" thickBot="1">
      <c r="H367" s="90" t="s">
        <v>13</v>
      </c>
      <c r="I367" s="31">
        <v>1.56</v>
      </c>
      <c r="J367" s="31">
        <v>1.1499999999999999</v>
      </c>
      <c r="K367" s="31">
        <v>10.81</v>
      </c>
      <c r="L367" s="31">
        <v>13.84</v>
      </c>
      <c r="M367" s="31">
        <v>15.91</v>
      </c>
      <c r="N367" s="31">
        <v>43.27</v>
      </c>
    </row>
    <row r="368" spans="8:18" ht="15.75" thickBot="1">
      <c r="H368" s="90" t="s">
        <v>14</v>
      </c>
      <c r="I368" s="91">
        <v>3.2</v>
      </c>
      <c r="J368" s="91">
        <v>3.16</v>
      </c>
      <c r="K368" s="91">
        <v>9.85</v>
      </c>
      <c r="L368" s="91">
        <v>14</v>
      </c>
      <c r="M368" s="91">
        <v>15.42</v>
      </c>
      <c r="N368" s="91">
        <v>45.63</v>
      </c>
    </row>
    <row r="369" spans="8:16" ht="15.75" thickBot="1">
      <c r="H369" s="90" t="s">
        <v>15</v>
      </c>
      <c r="I369" s="94">
        <v>1.37</v>
      </c>
      <c r="J369" s="94">
        <v>3.95</v>
      </c>
      <c r="K369" s="94">
        <v>12.32</v>
      </c>
      <c r="L369" s="94">
        <v>13.05</v>
      </c>
      <c r="M369" s="94">
        <v>21.12</v>
      </c>
      <c r="N369" s="95">
        <v>51.81</v>
      </c>
    </row>
    <row r="370" spans="8:16" ht="15.75" thickBot="1">
      <c r="H370" s="90" t="s">
        <v>64</v>
      </c>
      <c r="I370" s="31">
        <v>1.54</v>
      </c>
      <c r="J370" s="31">
        <v>2.74</v>
      </c>
      <c r="K370" s="33">
        <v>13.4</v>
      </c>
      <c r="L370" s="31">
        <v>15.81</v>
      </c>
      <c r="M370" s="31">
        <v>25.2</v>
      </c>
      <c r="N370" s="33">
        <v>58.692</v>
      </c>
    </row>
    <row r="371" spans="8:16" ht="15.75" thickBot="1">
      <c r="H371" s="90" t="s">
        <v>198</v>
      </c>
      <c r="I371" s="33">
        <v>1.276</v>
      </c>
      <c r="J371" s="33">
        <v>2.6960000000000002</v>
      </c>
      <c r="K371" s="33">
        <v>17.962</v>
      </c>
      <c r="L371" s="33">
        <v>20.742999999999999</v>
      </c>
      <c r="M371" s="33">
        <v>40.741</v>
      </c>
      <c r="N371" s="33">
        <v>83.418000000000006</v>
      </c>
    </row>
    <row r="372" spans="8:16" ht="15.75" thickBot="1">
      <c r="H372" s="90" t="s">
        <v>268</v>
      </c>
      <c r="I372" s="33">
        <v>1.2989999999999999</v>
      </c>
      <c r="J372" s="33">
        <f>2.018+0.055</f>
        <v>2.073</v>
      </c>
      <c r="K372" s="33">
        <f>12.206+2.761</f>
        <v>14.966999999999999</v>
      </c>
      <c r="L372" s="33">
        <f>19.075+0.27</f>
        <v>19.344999999999999</v>
      </c>
      <c r="M372" s="33">
        <f>29.205+5.844</f>
        <v>35.048999999999999</v>
      </c>
      <c r="N372" s="33">
        <v>72.733000000000004</v>
      </c>
    </row>
    <row r="375" spans="8:16" ht="15.75" thickBot="1"/>
    <row r="376" spans="8:16" ht="28.15" customHeight="1">
      <c r="H376" s="687" t="s">
        <v>151</v>
      </c>
      <c r="I376" s="688"/>
      <c r="J376" s="688"/>
      <c r="K376" s="688"/>
      <c r="L376" s="688"/>
      <c r="M376" s="688"/>
      <c r="N376" s="689"/>
      <c r="O376" s="229"/>
      <c r="P376" s="229"/>
    </row>
    <row r="377" spans="8:16" ht="15.75" thickBot="1">
      <c r="H377" s="690"/>
      <c r="I377" s="691"/>
      <c r="J377" s="691"/>
      <c r="K377" s="691"/>
      <c r="L377" s="691"/>
      <c r="M377" s="691"/>
      <c r="N377" s="692"/>
      <c r="O377" s="229"/>
      <c r="P377" s="229"/>
    </row>
    <row r="378" spans="8:16" ht="27.75" thickBot="1">
      <c r="H378" s="233" t="s">
        <v>0</v>
      </c>
      <c r="I378" s="96" t="s">
        <v>136</v>
      </c>
      <c r="J378" s="96" t="s">
        <v>152</v>
      </c>
      <c r="K378" s="96" t="s">
        <v>153</v>
      </c>
      <c r="L378" s="96" t="s">
        <v>2</v>
      </c>
      <c r="M378" s="96" t="s">
        <v>4</v>
      </c>
      <c r="N378" s="234" t="s">
        <v>5</v>
      </c>
      <c r="O378" s="232"/>
    </row>
    <row r="379" spans="8:16" ht="15.75" thickBot="1">
      <c r="H379" s="235" t="s">
        <v>7</v>
      </c>
      <c r="I379" s="31">
        <v>9.9600000000000009</v>
      </c>
      <c r="J379" s="31">
        <v>0.96</v>
      </c>
      <c r="K379" s="31">
        <v>1.3</v>
      </c>
      <c r="L379" s="31" t="s">
        <v>154</v>
      </c>
      <c r="M379" s="31">
        <v>2.85</v>
      </c>
      <c r="N379" s="236">
        <v>15.07</v>
      </c>
      <c r="O379" s="152"/>
    </row>
    <row r="380" spans="8:16" ht="15.75" thickBot="1">
      <c r="H380" s="235" t="s">
        <v>8</v>
      </c>
      <c r="I380" s="31">
        <v>8.51</v>
      </c>
      <c r="J380" s="31">
        <v>3.88</v>
      </c>
      <c r="K380" s="31">
        <v>1.84</v>
      </c>
      <c r="L380" s="31">
        <v>0.14000000000000001</v>
      </c>
      <c r="M380" s="31">
        <v>3.3</v>
      </c>
      <c r="N380" s="236">
        <v>17.670000000000002</v>
      </c>
      <c r="O380" s="152"/>
    </row>
    <row r="381" spans="8:16" ht="15.75" thickBot="1">
      <c r="H381" s="235" t="s">
        <v>9</v>
      </c>
      <c r="I381" s="31">
        <v>8.49</v>
      </c>
      <c r="J381" s="31">
        <v>3.88</v>
      </c>
      <c r="K381" s="31">
        <v>1.95</v>
      </c>
      <c r="L381" s="31">
        <v>0.14000000000000001</v>
      </c>
      <c r="M381" s="31">
        <v>4.1500000000000004</v>
      </c>
      <c r="N381" s="236">
        <v>18.61</v>
      </c>
      <c r="O381" s="152"/>
    </row>
    <row r="382" spans="8:16" ht="15.75" thickBot="1">
      <c r="H382" s="235" t="s">
        <v>10</v>
      </c>
      <c r="I382" s="31">
        <v>9.2100000000000009</v>
      </c>
      <c r="J382" s="31">
        <v>3.59</v>
      </c>
      <c r="K382" s="31">
        <v>1.98</v>
      </c>
      <c r="L382" s="31">
        <v>0.05</v>
      </c>
      <c r="M382" s="31">
        <v>4.46</v>
      </c>
      <c r="N382" s="236">
        <v>19.29</v>
      </c>
      <c r="O382" s="152"/>
    </row>
    <row r="383" spans="8:16" ht="15.75" thickBot="1">
      <c r="H383" s="235" t="s">
        <v>11</v>
      </c>
      <c r="I383" s="31">
        <v>9.44</v>
      </c>
      <c r="J383" s="31">
        <v>9.4700000000000006</v>
      </c>
      <c r="K383" s="31">
        <v>3.23</v>
      </c>
      <c r="L383" s="31">
        <v>3.52</v>
      </c>
      <c r="M383" s="31">
        <v>4.0599999999999996</v>
      </c>
      <c r="N383" s="236">
        <v>29.72</v>
      </c>
      <c r="O383" s="152"/>
    </row>
    <row r="384" spans="8:16" ht="15.75" thickBot="1">
      <c r="H384" s="235" t="s">
        <v>12</v>
      </c>
      <c r="I384" s="31">
        <v>3.67</v>
      </c>
      <c r="J384" s="31">
        <v>15.26</v>
      </c>
      <c r="K384" s="31">
        <v>4.17</v>
      </c>
      <c r="L384" s="31">
        <v>15.24</v>
      </c>
      <c r="M384" s="31">
        <v>5.35</v>
      </c>
      <c r="N384" s="236">
        <v>43.69</v>
      </c>
      <c r="O384" s="152"/>
    </row>
    <row r="385" spans="8:16" ht="15.75" thickBot="1">
      <c r="H385" s="235" t="s">
        <v>13</v>
      </c>
      <c r="I385" s="31">
        <v>2.79</v>
      </c>
      <c r="J385" s="31">
        <v>8.9600000000000009</v>
      </c>
      <c r="K385" s="31">
        <v>5.8</v>
      </c>
      <c r="L385" s="31">
        <v>19.62</v>
      </c>
      <c r="M385" s="31">
        <v>6.1</v>
      </c>
      <c r="N385" s="236">
        <v>43.27</v>
      </c>
      <c r="O385" s="152"/>
    </row>
    <row r="386" spans="8:16" ht="15.75" thickBot="1">
      <c r="H386" s="235" t="s">
        <v>14</v>
      </c>
      <c r="I386" s="31">
        <v>3.51</v>
      </c>
      <c r="J386" s="31">
        <v>2.97</v>
      </c>
      <c r="K386" s="31">
        <v>7.04</v>
      </c>
      <c r="L386" s="31">
        <v>23.51</v>
      </c>
      <c r="M386" s="31">
        <v>8.6</v>
      </c>
      <c r="N386" s="236">
        <v>45.63</v>
      </c>
      <c r="O386" s="152"/>
    </row>
    <row r="387" spans="8:16" ht="15.75" thickBot="1">
      <c r="H387" s="235" t="s">
        <v>15</v>
      </c>
      <c r="I387" s="31">
        <v>1.76</v>
      </c>
      <c r="J387" s="31">
        <v>0.98</v>
      </c>
      <c r="K387" s="31">
        <v>5.13</v>
      </c>
      <c r="L387" s="31">
        <v>30.85</v>
      </c>
      <c r="M387" s="31">
        <v>13.09</v>
      </c>
      <c r="N387" s="236">
        <v>51.81</v>
      </c>
      <c r="O387" s="152"/>
    </row>
    <row r="388" spans="8:16" ht="15.75" thickBot="1">
      <c r="H388" s="237" t="s">
        <v>64</v>
      </c>
      <c r="I388" s="238">
        <v>1.71</v>
      </c>
      <c r="J388" s="238">
        <v>1.47</v>
      </c>
      <c r="K388" s="238">
        <v>5.45</v>
      </c>
      <c r="L388" s="238">
        <v>35.96</v>
      </c>
      <c r="M388" s="238">
        <f>12.55+1.55</f>
        <v>14.100000000000001</v>
      </c>
      <c r="N388" s="239">
        <v>58.69</v>
      </c>
      <c r="O388" s="152"/>
    </row>
    <row r="389" spans="8:16" ht="15.75" thickBot="1">
      <c r="H389" s="240" t="s">
        <v>198</v>
      </c>
      <c r="I389" s="241">
        <v>1.403</v>
      </c>
      <c r="J389" s="241">
        <v>10.526</v>
      </c>
      <c r="K389" s="241">
        <v>5.3620000000000001</v>
      </c>
      <c r="L389" s="241">
        <v>48.661999999999999</v>
      </c>
      <c r="M389" s="241">
        <v>17.47</v>
      </c>
      <c r="N389" s="242">
        <v>83.418000000000006</v>
      </c>
      <c r="O389" s="152"/>
    </row>
    <row r="390" spans="8:16" ht="15.75" thickBot="1">
      <c r="H390" s="240" t="s">
        <v>268</v>
      </c>
      <c r="I390" s="241">
        <v>1.4279999999999999</v>
      </c>
      <c r="J390" s="241">
        <v>1.62</v>
      </c>
      <c r="K390" s="241">
        <v>5.9649999999999999</v>
      </c>
      <c r="L390" s="241">
        <v>46.203000000000003</v>
      </c>
      <c r="M390" s="241">
        <f>N390-L390-K390-J390-I390</f>
        <v>17.516999999999999</v>
      </c>
      <c r="N390" s="242">
        <v>72.733000000000004</v>
      </c>
      <c r="O390" s="140"/>
    </row>
    <row r="393" spans="8:16" ht="15.75" thickBot="1"/>
    <row r="394" spans="8:16" ht="32.450000000000003" customHeight="1">
      <c r="H394" s="693" t="s">
        <v>155</v>
      </c>
      <c r="I394" s="694"/>
      <c r="J394" s="694"/>
      <c r="K394" s="694"/>
      <c r="L394" s="694"/>
      <c r="M394" s="694"/>
      <c r="N394" s="695"/>
      <c r="O394" s="245"/>
      <c r="P394" s="245"/>
    </row>
    <row r="395" spans="8:16" ht="15.75" thickBot="1">
      <c r="H395" s="696"/>
      <c r="I395" s="697"/>
      <c r="J395" s="697"/>
      <c r="K395" s="697"/>
      <c r="L395" s="697"/>
      <c r="M395" s="697"/>
      <c r="N395" s="698"/>
      <c r="O395" s="245"/>
      <c r="P395" s="245"/>
    </row>
    <row r="396" spans="8:16" ht="15" customHeight="1" thickBot="1">
      <c r="H396" s="679" t="s">
        <v>0</v>
      </c>
      <c r="I396" s="655" t="s">
        <v>32</v>
      </c>
      <c r="J396" s="656"/>
      <c r="K396" s="656"/>
      <c r="L396" s="656"/>
      <c r="M396" s="656"/>
      <c r="N396" s="657"/>
      <c r="O396" s="246"/>
      <c r="P396" s="246"/>
    </row>
    <row r="397" spans="8:16" ht="26.25" thickBot="1">
      <c r="H397" s="680"/>
      <c r="I397" s="247" t="s">
        <v>156</v>
      </c>
      <c r="J397" s="97" t="s">
        <v>157</v>
      </c>
      <c r="K397" s="97" t="s">
        <v>158</v>
      </c>
      <c r="L397" s="97" t="s">
        <v>159</v>
      </c>
      <c r="M397" s="97" t="s">
        <v>4</v>
      </c>
      <c r="N397" s="248" t="s">
        <v>5</v>
      </c>
      <c r="O397" s="243"/>
    </row>
    <row r="398" spans="8:16" ht="15.75" thickBot="1">
      <c r="H398" s="404" t="s">
        <v>7</v>
      </c>
      <c r="I398" s="249">
        <v>7.73</v>
      </c>
      <c r="J398" s="99">
        <v>1.27</v>
      </c>
      <c r="K398" s="99">
        <v>1.01</v>
      </c>
      <c r="L398" s="99">
        <v>0.62</v>
      </c>
      <c r="M398" s="99">
        <v>1.51</v>
      </c>
      <c r="N398" s="250">
        <v>12.14</v>
      </c>
      <c r="O398" s="244"/>
    </row>
    <row r="399" spans="8:16" ht="15.75" thickBot="1">
      <c r="H399" s="404" t="s">
        <v>8</v>
      </c>
      <c r="I399" s="249">
        <v>6.27</v>
      </c>
      <c r="J399" s="99">
        <v>0.96</v>
      </c>
      <c r="K399" s="99">
        <v>1.2</v>
      </c>
      <c r="L399" s="99">
        <v>0.65</v>
      </c>
      <c r="M399" s="99">
        <v>2.08</v>
      </c>
      <c r="N399" s="250">
        <v>11.16</v>
      </c>
      <c r="O399" s="244"/>
    </row>
    <row r="400" spans="8:16" ht="15.75" thickBot="1">
      <c r="H400" s="404" t="s">
        <v>9</v>
      </c>
      <c r="I400" s="249">
        <v>6.8</v>
      </c>
      <c r="J400" s="99">
        <v>1.02</v>
      </c>
      <c r="K400" s="99">
        <v>1.28</v>
      </c>
      <c r="L400" s="99">
        <v>0.66</v>
      </c>
      <c r="M400" s="99">
        <v>1.82</v>
      </c>
      <c r="N400" s="250">
        <v>11.58</v>
      </c>
      <c r="O400" s="244"/>
    </row>
    <row r="401" spans="8:18" ht="15.75" thickBot="1">
      <c r="H401" s="404" t="s">
        <v>10</v>
      </c>
      <c r="I401" s="249">
        <v>6.32</v>
      </c>
      <c r="J401" s="99">
        <v>1.1499999999999999</v>
      </c>
      <c r="K401" s="99">
        <v>1.41</v>
      </c>
      <c r="L401" s="99">
        <v>0.72</v>
      </c>
      <c r="M401" s="99">
        <v>1.76</v>
      </c>
      <c r="N401" s="250">
        <v>11.36</v>
      </c>
      <c r="O401" s="244"/>
    </row>
    <row r="402" spans="8:18" ht="15.75" thickBot="1">
      <c r="H402" s="404" t="s">
        <v>11</v>
      </c>
      <c r="I402" s="249">
        <v>5.09</v>
      </c>
      <c r="J402" s="99">
        <v>1.03</v>
      </c>
      <c r="K402" s="99">
        <v>1.56</v>
      </c>
      <c r="L402" s="99">
        <v>0.73</v>
      </c>
      <c r="M402" s="99">
        <v>2.0099999999999998</v>
      </c>
      <c r="N402" s="250">
        <v>10.42</v>
      </c>
      <c r="O402" s="244"/>
    </row>
    <row r="403" spans="8:18" ht="15.75" thickBot="1">
      <c r="H403" s="404" t="s">
        <v>12</v>
      </c>
      <c r="I403" s="249">
        <v>6.84</v>
      </c>
      <c r="J403" s="99">
        <v>1.24</v>
      </c>
      <c r="K403" s="99">
        <v>1.52</v>
      </c>
      <c r="L403" s="99">
        <v>0.7</v>
      </c>
      <c r="M403" s="99">
        <v>1.75</v>
      </c>
      <c r="N403" s="250">
        <v>12.05</v>
      </c>
      <c r="O403" s="244"/>
    </row>
    <row r="404" spans="8:18" ht="15.75" thickBot="1">
      <c r="H404" s="404" t="s">
        <v>13</v>
      </c>
      <c r="I404" s="249">
        <v>7.08</v>
      </c>
      <c r="J404" s="99">
        <v>1.67</v>
      </c>
      <c r="K404" s="99">
        <v>1.62</v>
      </c>
      <c r="L404" s="99">
        <v>0.96</v>
      </c>
      <c r="M404" s="99">
        <v>3.55</v>
      </c>
      <c r="N404" s="250">
        <v>14.88</v>
      </c>
      <c r="O404" s="244"/>
    </row>
    <row r="405" spans="8:18" ht="15.75" thickBot="1">
      <c r="H405" s="404" t="s">
        <v>14</v>
      </c>
      <c r="I405" s="249">
        <v>7.52</v>
      </c>
      <c r="J405" s="99">
        <v>1.31</v>
      </c>
      <c r="K405" s="99">
        <v>1.66</v>
      </c>
      <c r="L405" s="99">
        <v>0.83</v>
      </c>
      <c r="M405" s="99">
        <v>8.6300000000000008</v>
      </c>
      <c r="N405" s="250">
        <v>19.95</v>
      </c>
      <c r="O405" s="244"/>
    </row>
    <row r="406" spans="8:18" ht="15.75" thickBot="1">
      <c r="H406" s="404" t="s">
        <v>15</v>
      </c>
      <c r="I406" s="249">
        <v>9.7200000000000006</v>
      </c>
      <c r="J406" s="99">
        <v>1.35</v>
      </c>
      <c r="K406" s="99">
        <v>1.43</v>
      </c>
      <c r="L406" s="99">
        <v>0.86</v>
      </c>
      <c r="M406" s="99">
        <v>10.84</v>
      </c>
      <c r="N406" s="250">
        <v>24.2</v>
      </c>
      <c r="O406" s="244"/>
    </row>
    <row r="407" spans="8:18" ht="15.75" thickBot="1">
      <c r="H407" s="404" t="s">
        <v>64</v>
      </c>
      <c r="I407" s="249">
        <v>10.18</v>
      </c>
      <c r="J407" s="99">
        <v>1.054</v>
      </c>
      <c r="K407" s="99">
        <v>0</v>
      </c>
      <c r="L407" s="99">
        <v>0.67</v>
      </c>
      <c r="M407" s="99">
        <f>+N407-I407-J407-K407-L407</f>
        <v>12.760000000000002</v>
      </c>
      <c r="N407" s="251">
        <v>24.664000000000001</v>
      </c>
      <c r="O407" s="244"/>
    </row>
    <row r="408" spans="8:18" ht="15.75" thickBot="1">
      <c r="H408" s="404" t="s">
        <v>198</v>
      </c>
      <c r="I408" s="252">
        <v>10.167</v>
      </c>
      <c r="J408" s="253">
        <v>1.1439999999999999</v>
      </c>
      <c r="K408" s="253">
        <v>1.623</v>
      </c>
      <c r="L408" s="253">
        <v>0.8</v>
      </c>
      <c r="M408" s="253">
        <f>+N408-I408-J408-K408-L408</f>
        <v>13.561</v>
      </c>
      <c r="N408" s="254">
        <v>27.295000000000002</v>
      </c>
      <c r="O408" s="244"/>
    </row>
    <row r="409" spans="8:18" ht="15.75" thickBot="1">
      <c r="H409" s="404" t="s">
        <v>268</v>
      </c>
      <c r="I409" s="252">
        <f>6.77+3.117</f>
        <v>9.8870000000000005</v>
      </c>
      <c r="J409" s="253">
        <f>1.309+0.035</f>
        <v>1.3439999999999999</v>
      </c>
      <c r="K409" s="253">
        <v>1.619</v>
      </c>
      <c r="L409" s="253">
        <f>0.439+0.272</f>
        <v>0.71100000000000008</v>
      </c>
      <c r="M409" s="253">
        <f>+N409-I409-J409-K409-L409</f>
        <v>15.287999999999998</v>
      </c>
      <c r="N409" s="254">
        <f>28.849</f>
        <v>28.849</v>
      </c>
      <c r="O409" s="244"/>
    </row>
    <row r="411" spans="8:18" ht="15.75" thickBot="1"/>
    <row r="412" spans="8:18" ht="14.45" customHeight="1">
      <c r="H412" s="658" t="s">
        <v>160</v>
      </c>
      <c r="I412" s="659"/>
      <c r="J412" s="659"/>
      <c r="K412" s="659"/>
      <c r="L412" s="659"/>
      <c r="M412" s="659"/>
      <c r="N412" s="660"/>
      <c r="O412" s="255"/>
      <c r="P412" s="255"/>
      <c r="R412" t="s">
        <v>161</v>
      </c>
    </row>
    <row r="413" spans="8:18" ht="15.75" thickBot="1">
      <c r="H413" s="256"/>
      <c r="I413" s="255"/>
      <c r="J413" s="255"/>
      <c r="K413" s="255"/>
      <c r="L413" s="255"/>
      <c r="M413" s="255"/>
      <c r="N413" s="278"/>
      <c r="O413" s="255"/>
      <c r="P413" s="255"/>
    </row>
    <row r="414" spans="8:18" ht="15" customHeight="1" thickBot="1">
      <c r="H414" s="681" t="s">
        <v>0</v>
      </c>
      <c r="I414" s="663" t="s">
        <v>32</v>
      </c>
      <c r="J414" s="664"/>
      <c r="K414" s="664"/>
      <c r="L414" s="664"/>
      <c r="M414" s="664"/>
      <c r="N414" s="665"/>
      <c r="O414" s="201"/>
      <c r="P414" s="201"/>
    </row>
    <row r="415" spans="8:18">
      <c r="H415" s="682"/>
      <c r="I415" s="684" t="s">
        <v>1</v>
      </c>
      <c r="J415" s="100" t="s">
        <v>35</v>
      </c>
      <c r="K415" s="684" t="s">
        <v>136</v>
      </c>
      <c r="L415" s="684" t="s">
        <v>2</v>
      </c>
      <c r="M415" s="684" t="s">
        <v>4</v>
      </c>
      <c r="N415" s="685" t="s">
        <v>5</v>
      </c>
      <c r="O415" s="145"/>
    </row>
    <row r="416" spans="8:18" ht="15.75" thickBot="1">
      <c r="H416" s="683"/>
      <c r="I416" s="472"/>
      <c r="J416" s="101" t="s">
        <v>36</v>
      </c>
      <c r="K416" s="472"/>
      <c r="L416" s="472"/>
      <c r="M416" s="472"/>
      <c r="N416" s="686"/>
      <c r="O416" s="145"/>
    </row>
    <row r="417" spans="8:15" ht="15.75" thickBot="1">
      <c r="H417" s="257" t="s">
        <v>7</v>
      </c>
      <c r="I417" s="37">
        <v>5.47</v>
      </c>
      <c r="J417" s="37">
        <v>1.29</v>
      </c>
      <c r="K417" s="37">
        <v>0.32</v>
      </c>
      <c r="L417" s="37">
        <v>3.59</v>
      </c>
      <c r="M417" s="37">
        <v>1.47</v>
      </c>
      <c r="N417" s="258">
        <v>12.14</v>
      </c>
      <c r="O417" s="149"/>
    </row>
    <row r="418" spans="8:15" ht="15.75" thickBot="1">
      <c r="H418" s="257" t="s">
        <v>8</v>
      </c>
      <c r="I418" s="37">
        <v>4.95</v>
      </c>
      <c r="J418" s="37">
        <v>1.49</v>
      </c>
      <c r="K418" s="37">
        <v>0.23</v>
      </c>
      <c r="L418" s="37">
        <v>2.5499999999999998</v>
      </c>
      <c r="M418" s="37">
        <v>1.94</v>
      </c>
      <c r="N418" s="258">
        <v>11.16</v>
      </c>
      <c r="O418" s="149"/>
    </row>
    <row r="419" spans="8:15" ht="15.75" thickBot="1">
      <c r="H419" s="257" t="s">
        <v>9</v>
      </c>
      <c r="I419" s="37">
        <v>4.58</v>
      </c>
      <c r="J419" s="37">
        <v>1.77</v>
      </c>
      <c r="K419" s="37">
        <v>0.57999999999999996</v>
      </c>
      <c r="L419" s="37">
        <v>2.29</v>
      </c>
      <c r="M419" s="37">
        <v>2.36</v>
      </c>
      <c r="N419" s="258">
        <v>11.58</v>
      </c>
      <c r="O419" s="149"/>
    </row>
    <row r="420" spans="8:15" ht="15.75" thickBot="1">
      <c r="H420" s="257" t="s">
        <v>10</v>
      </c>
      <c r="I420" s="37">
        <v>3.74</v>
      </c>
      <c r="J420" s="37">
        <v>2.25</v>
      </c>
      <c r="K420" s="37">
        <v>0.4</v>
      </c>
      <c r="L420" s="37">
        <v>2</v>
      </c>
      <c r="M420" s="37">
        <v>2.97</v>
      </c>
      <c r="N420" s="258">
        <v>11.36</v>
      </c>
      <c r="O420" s="149"/>
    </row>
    <row r="421" spans="8:15" ht="15.75" thickBot="1">
      <c r="H421" s="257" t="s">
        <v>11</v>
      </c>
      <c r="I421" s="37">
        <v>4.2699999999999996</v>
      </c>
      <c r="J421" s="37">
        <v>2.35</v>
      </c>
      <c r="K421" s="37" t="s">
        <v>154</v>
      </c>
      <c r="L421" s="37">
        <v>1.46</v>
      </c>
      <c r="M421" s="37">
        <v>2.34</v>
      </c>
      <c r="N421" s="258">
        <v>14.88</v>
      </c>
      <c r="O421" s="149"/>
    </row>
    <row r="422" spans="8:15" ht="15.75" thickBot="1">
      <c r="H422" s="257" t="s">
        <v>12</v>
      </c>
      <c r="I422" s="37">
        <v>5.0599999999999996</v>
      </c>
      <c r="J422" s="37">
        <v>2.2000000000000002</v>
      </c>
      <c r="K422" s="37" t="s">
        <v>154</v>
      </c>
      <c r="L422" s="37">
        <v>2.88</v>
      </c>
      <c r="M422" s="37">
        <v>1.91</v>
      </c>
      <c r="N422" s="258">
        <v>12.05</v>
      </c>
      <c r="O422" s="149"/>
    </row>
    <row r="423" spans="8:15" ht="15.75" thickBot="1">
      <c r="H423" s="257" t="s">
        <v>13</v>
      </c>
      <c r="I423" s="37">
        <v>5.12</v>
      </c>
      <c r="J423" s="37">
        <v>2.2799999999999998</v>
      </c>
      <c r="K423" s="37" t="s">
        <v>154</v>
      </c>
      <c r="L423" s="37">
        <v>5</v>
      </c>
      <c r="M423" s="37">
        <v>2.48</v>
      </c>
      <c r="N423" s="258">
        <v>14.88</v>
      </c>
      <c r="O423" s="149"/>
    </row>
    <row r="424" spans="8:15" ht="15.75" thickBot="1">
      <c r="H424" s="257" t="s">
        <v>14</v>
      </c>
      <c r="I424" s="37">
        <v>6.36</v>
      </c>
      <c r="J424" s="37">
        <v>2.4900000000000002</v>
      </c>
      <c r="K424" s="37" t="s">
        <v>56</v>
      </c>
      <c r="L424" s="37">
        <v>7.59</v>
      </c>
      <c r="M424" s="37">
        <v>3.51</v>
      </c>
      <c r="N424" s="258">
        <v>19.95</v>
      </c>
      <c r="O424" s="149"/>
    </row>
    <row r="425" spans="8:15" ht="15.75" thickBot="1">
      <c r="H425" s="257" t="s">
        <v>15</v>
      </c>
      <c r="I425" s="37">
        <v>7.82</v>
      </c>
      <c r="J425" s="37">
        <v>2.04</v>
      </c>
      <c r="K425" s="37">
        <v>0.4</v>
      </c>
      <c r="L425" s="37">
        <v>10.4</v>
      </c>
      <c r="M425" s="37">
        <v>3.54</v>
      </c>
      <c r="N425" s="258">
        <v>24.2</v>
      </c>
      <c r="O425" s="149"/>
    </row>
    <row r="426" spans="8:15" ht="15.75" thickBot="1">
      <c r="H426" s="257" t="s">
        <v>64</v>
      </c>
      <c r="I426" s="102">
        <v>7.62</v>
      </c>
      <c r="J426" s="102">
        <v>2</v>
      </c>
      <c r="K426" s="102">
        <v>1.1200000000000001</v>
      </c>
      <c r="L426" s="102">
        <v>9.7149999999999999</v>
      </c>
      <c r="M426" s="102">
        <f>+N426-I426-J426-K426-L426</f>
        <v>4.2089999999999996</v>
      </c>
      <c r="N426" s="259">
        <v>24.664000000000001</v>
      </c>
      <c r="O426" s="149"/>
    </row>
    <row r="427" spans="8:15" ht="15.75" thickBot="1">
      <c r="H427" s="260" t="s">
        <v>198</v>
      </c>
      <c r="I427" s="261">
        <v>8.8239999999999998</v>
      </c>
      <c r="J427" s="261">
        <v>2.12</v>
      </c>
      <c r="K427" s="261">
        <v>1.248</v>
      </c>
      <c r="L427" s="261">
        <v>10.923999999999999</v>
      </c>
      <c r="M427" s="261">
        <f>+N427-I427-J427-K427-L427</f>
        <v>4.1790000000000038</v>
      </c>
      <c r="N427" s="262">
        <v>27.295000000000002</v>
      </c>
      <c r="O427" s="150"/>
    </row>
    <row r="428" spans="8:15" ht="15.75" thickBot="1">
      <c r="H428" s="260" t="s">
        <v>268</v>
      </c>
      <c r="I428" s="261">
        <v>7.6109999999999998</v>
      </c>
      <c r="J428" s="261">
        <v>2.2429999999999999</v>
      </c>
      <c r="K428" s="261">
        <v>3.2250000000000001</v>
      </c>
      <c r="L428" s="261">
        <v>12.173</v>
      </c>
      <c r="M428" s="261">
        <f>+N428-I428-J428-K428-L428</f>
        <v>3.5970000000000013</v>
      </c>
      <c r="N428" s="262">
        <v>28.849</v>
      </c>
      <c r="O428" s="150"/>
    </row>
    <row r="430" spans="8:15" ht="15.75" thickBot="1"/>
    <row r="431" spans="8:15" ht="14.45" customHeight="1">
      <c r="H431" s="666" t="s">
        <v>162</v>
      </c>
      <c r="I431" s="667"/>
      <c r="J431" s="667"/>
      <c r="K431" s="667"/>
      <c r="L431" s="667"/>
      <c r="M431" s="668"/>
      <c r="N431" s="201"/>
      <c r="O431" s="145"/>
    </row>
    <row r="432" spans="8:15" ht="15.75" thickBot="1">
      <c r="H432" s="669"/>
      <c r="I432" s="670"/>
      <c r="J432" s="670"/>
      <c r="K432" s="670"/>
      <c r="L432" s="670"/>
      <c r="M432" s="671"/>
      <c r="N432" s="201"/>
      <c r="O432" s="145"/>
    </row>
    <row r="433" spans="8:15" ht="15" customHeight="1" thickBot="1">
      <c r="H433" s="635" t="s">
        <v>163</v>
      </c>
      <c r="I433" s="586" t="s">
        <v>32</v>
      </c>
      <c r="J433" s="587"/>
      <c r="K433" s="587"/>
      <c r="L433" s="587"/>
      <c r="M433" s="672"/>
      <c r="N433" s="201"/>
      <c r="O433" s="145"/>
    </row>
    <row r="434" spans="8:15" ht="15.75" thickBot="1">
      <c r="H434" s="636"/>
      <c r="I434" s="187" t="s">
        <v>1</v>
      </c>
      <c r="J434" s="187" t="s">
        <v>2</v>
      </c>
      <c r="K434" s="187" t="s">
        <v>164</v>
      </c>
      <c r="L434" s="187" t="s">
        <v>4</v>
      </c>
      <c r="M434" s="263" t="s">
        <v>5</v>
      </c>
      <c r="O434" s="151"/>
    </row>
    <row r="435" spans="8:15" ht="15.75" thickBot="1">
      <c r="H435" s="405" t="s">
        <v>7</v>
      </c>
      <c r="I435" s="37">
        <v>8.19</v>
      </c>
      <c r="J435" s="37" t="s">
        <v>165</v>
      </c>
      <c r="K435" s="37" t="s">
        <v>165</v>
      </c>
      <c r="L435" s="37">
        <v>0.01</v>
      </c>
      <c r="M435" s="37">
        <v>8.1999999999999993</v>
      </c>
      <c r="O435" s="149"/>
    </row>
    <row r="436" spans="8:15" ht="15.75" thickBot="1">
      <c r="H436" s="405" t="s">
        <v>8</v>
      </c>
      <c r="I436" s="37">
        <v>11.43</v>
      </c>
      <c r="J436" s="37">
        <v>0.33</v>
      </c>
      <c r="K436" s="37" t="s">
        <v>165</v>
      </c>
      <c r="L436" s="37" t="s">
        <v>56</v>
      </c>
      <c r="M436" s="37">
        <v>11.76</v>
      </c>
      <c r="O436" s="149"/>
    </row>
    <row r="437" spans="8:15" ht="15.75" thickBot="1">
      <c r="H437" s="405" t="s">
        <v>9</v>
      </c>
      <c r="I437" s="37">
        <v>14.03</v>
      </c>
      <c r="J437" s="37">
        <v>0.28000000000000003</v>
      </c>
      <c r="K437" s="37" t="s">
        <v>56</v>
      </c>
      <c r="L437" s="37" t="s">
        <v>56</v>
      </c>
      <c r="M437" s="37">
        <v>14.31</v>
      </c>
      <c r="O437" s="149"/>
    </row>
    <row r="438" spans="8:15" ht="15.75" thickBot="1">
      <c r="H438" s="405" t="s">
        <v>10</v>
      </c>
      <c r="I438" s="37">
        <v>12.74</v>
      </c>
      <c r="J438" s="37">
        <v>0.09</v>
      </c>
      <c r="K438" s="37" t="s">
        <v>56</v>
      </c>
      <c r="L438" s="37" t="s">
        <v>56</v>
      </c>
      <c r="M438" s="37">
        <v>12.83</v>
      </c>
      <c r="O438" s="149"/>
    </row>
    <row r="439" spans="8:15" ht="15.75" thickBot="1">
      <c r="H439" s="405" t="s">
        <v>11</v>
      </c>
      <c r="I439" s="37">
        <v>11.9</v>
      </c>
      <c r="J439" s="37" t="s">
        <v>154</v>
      </c>
      <c r="K439" s="37" t="s">
        <v>56</v>
      </c>
      <c r="L439" s="37" t="s">
        <v>56</v>
      </c>
      <c r="M439" s="37">
        <v>11.9</v>
      </c>
      <c r="O439" s="149"/>
    </row>
    <row r="440" spans="8:15" ht="15.75" thickBot="1">
      <c r="H440" s="405" t="s">
        <v>12</v>
      </c>
      <c r="I440" s="37">
        <v>13.68</v>
      </c>
      <c r="J440" s="37">
        <v>0.22</v>
      </c>
      <c r="K440" s="37" t="s">
        <v>56</v>
      </c>
      <c r="L440" s="37" t="s">
        <v>56</v>
      </c>
      <c r="M440" s="37">
        <v>13.9</v>
      </c>
      <c r="O440" s="149"/>
    </row>
    <row r="441" spans="8:15" ht="15.75" thickBot="1">
      <c r="H441" s="405" t="s">
        <v>13</v>
      </c>
      <c r="I441" s="37">
        <v>14.58</v>
      </c>
      <c r="J441" s="37" t="s">
        <v>166</v>
      </c>
      <c r="K441" s="37" t="s">
        <v>56</v>
      </c>
      <c r="L441" s="37" t="s">
        <v>56</v>
      </c>
      <c r="M441" s="37">
        <v>14.58</v>
      </c>
      <c r="O441" s="149"/>
    </row>
    <row r="442" spans="8:15" ht="15.75" thickBot="1">
      <c r="H442" s="405" t="s">
        <v>14</v>
      </c>
      <c r="I442" s="37">
        <v>14.31</v>
      </c>
      <c r="J442" s="37">
        <v>0.16</v>
      </c>
      <c r="K442" s="37" t="s">
        <v>56</v>
      </c>
      <c r="L442" s="37" t="s">
        <v>56</v>
      </c>
      <c r="M442" s="37">
        <v>14.47</v>
      </c>
      <c r="O442" s="149"/>
    </row>
    <row r="443" spans="8:15" ht="15.75" thickBot="1">
      <c r="H443" s="405" t="s">
        <v>15</v>
      </c>
      <c r="I443" s="37">
        <v>3.28</v>
      </c>
      <c r="J443" s="37">
        <v>0.11</v>
      </c>
      <c r="K443" s="37" t="s">
        <v>56</v>
      </c>
      <c r="L443" s="37" t="s">
        <v>56</v>
      </c>
      <c r="M443" s="37">
        <v>3.39</v>
      </c>
      <c r="O443" s="149"/>
    </row>
    <row r="444" spans="8:15" ht="15.75" thickBot="1">
      <c r="H444" s="405" t="s">
        <v>64</v>
      </c>
      <c r="I444" s="102">
        <v>0</v>
      </c>
      <c r="J444" s="102">
        <v>0.28399999999999997</v>
      </c>
      <c r="K444" s="102" t="s">
        <v>56</v>
      </c>
      <c r="L444" s="102" t="s">
        <v>56</v>
      </c>
      <c r="M444" s="102">
        <v>0.28399999999999997</v>
      </c>
      <c r="O444" s="149"/>
    </row>
    <row r="445" spans="8:15" ht="15.75" thickBot="1">
      <c r="H445" s="405" t="s">
        <v>198</v>
      </c>
      <c r="I445" s="102">
        <v>0.34699999999999998</v>
      </c>
      <c r="J445" s="102">
        <v>0.41199999999999998</v>
      </c>
      <c r="K445" s="102" t="s">
        <v>56</v>
      </c>
      <c r="L445" s="102" t="s">
        <v>56</v>
      </c>
      <c r="M445" s="102">
        <v>0.76</v>
      </c>
      <c r="O445" s="150"/>
    </row>
    <row r="446" spans="8:15" ht="15.75" thickBot="1">
      <c r="H446" s="405" t="s">
        <v>268</v>
      </c>
      <c r="I446" s="102">
        <v>0.26</v>
      </c>
      <c r="J446" s="102">
        <v>0.17</v>
      </c>
      <c r="K446" s="102" t="s">
        <v>56</v>
      </c>
      <c r="L446" s="102" t="s">
        <v>56</v>
      </c>
      <c r="M446" s="102">
        <v>0.43</v>
      </c>
      <c r="O446" s="150"/>
    </row>
    <row r="448" spans="8:15" ht="15.75" thickBot="1"/>
    <row r="449" spans="8:16" ht="24" customHeight="1" thickBot="1">
      <c r="H449" s="571" t="s">
        <v>167</v>
      </c>
      <c r="I449" s="572"/>
      <c r="J449" s="572"/>
      <c r="K449" s="572"/>
      <c r="L449" s="572"/>
      <c r="M449" s="572"/>
      <c r="N449" s="573"/>
      <c r="O449" s="229"/>
      <c r="P449" s="229"/>
    </row>
    <row r="450" spans="8:16" ht="15" customHeight="1" thickBot="1">
      <c r="H450" s="264"/>
      <c r="I450" s="547" t="s">
        <v>32</v>
      </c>
      <c r="J450" s="548"/>
      <c r="K450" s="548"/>
      <c r="L450" s="548"/>
      <c r="M450" s="548"/>
      <c r="N450" s="549"/>
      <c r="O450" s="230"/>
      <c r="P450" s="230"/>
    </row>
    <row r="451" spans="8:16" ht="27.75" thickBot="1">
      <c r="H451" s="265" t="s">
        <v>0</v>
      </c>
      <c r="I451" s="96" t="s">
        <v>168</v>
      </c>
      <c r="J451" s="96" t="s">
        <v>169</v>
      </c>
      <c r="K451" s="96" t="s">
        <v>170</v>
      </c>
      <c r="L451" s="96" t="s">
        <v>171</v>
      </c>
      <c r="M451" s="96" t="s">
        <v>4</v>
      </c>
      <c r="N451" s="234" t="s">
        <v>5</v>
      </c>
      <c r="O451" s="232"/>
    </row>
    <row r="452" spans="8:16" ht="15.75" thickBot="1">
      <c r="H452" s="266" t="s">
        <v>7</v>
      </c>
      <c r="I452" s="31">
        <v>2.61</v>
      </c>
      <c r="J452" s="31">
        <v>0.08</v>
      </c>
      <c r="K452" s="31">
        <v>0.01</v>
      </c>
      <c r="L452" s="31">
        <v>0.81</v>
      </c>
      <c r="M452" s="31" t="s">
        <v>172</v>
      </c>
      <c r="N452" s="236">
        <v>3.51</v>
      </c>
      <c r="O452" s="152"/>
    </row>
    <row r="453" spans="8:16" ht="15.75" thickBot="1">
      <c r="H453" s="266" t="s">
        <v>8</v>
      </c>
      <c r="I453" s="31">
        <v>2.4700000000000002</v>
      </c>
      <c r="J453" s="31">
        <v>0.08</v>
      </c>
      <c r="K453" s="31">
        <v>0.02</v>
      </c>
      <c r="L453" s="31">
        <v>1.55</v>
      </c>
      <c r="M453" s="31" t="s">
        <v>56</v>
      </c>
      <c r="N453" s="236">
        <v>4.12</v>
      </c>
      <c r="O453" s="152"/>
    </row>
    <row r="454" spans="8:16" ht="15.75" thickBot="1">
      <c r="H454" s="266" t="s">
        <v>9</v>
      </c>
      <c r="I454" s="31">
        <v>2.38</v>
      </c>
      <c r="J454" s="31">
        <v>0.09</v>
      </c>
      <c r="K454" s="31">
        <v>0.01</v>
      </c>
      <c r="L454" s="31">
        <v>4.08</v>
      </c>
      <c r="M454" s="31" t="s">
        <v>56</v>
      </c>
      <c r="N454" s="236">
        <v>6.56</v>
      </c>
      <c r="O454" s="152"/>
    </row>
    <row r="455" spans="8:16" ht="15.75" thickBot="1">
      <c r="H455" s="266" t="s">
        <v>10</v>
      </c>
      <c r="I455" s="31">
        <v>2.72</v>
      </c>
      <c r="J455" s="31">
        <v>0.08</v>
      </c>
      <c r="K455" s="31">
        <v>0.01</v>
      </c>
      <c r="L455" s="31">
        <v>6.09</v>
      </c>
      <c r="M455" s="31" t="s">
        <v>56</v>
      </c>
      <c r="N455" s="236">
        <v>8.9</v>
      </c>
      <c r="O455" s="152"/>
    </row>
    <row r="456" spans="8:16" ht="15.75" thickBot="1">
      <c r="H456" s="266" t="s">
        <v>11</v>
      </c>
      <c r="I456" s="31">
        <v>2.96</v>
      </c>
      <c r="J456" s="31">
        <v>0.09</v>
      </c>
      <c r="K456" s="31">
        <v>0.01</v>
      </c>
      <c r="L456" s="31">
        <v>1.91</v>
      </c>
      <c r="M456" s="31" t="s">
        <v>56</v>
      </c>
      <c r="N456" s="236">
        <v>4.97</v>
      </c>
      <c r="O456" s="152"/>
    </row>
    <row r="457" spans="8:16" ht="15.75" thickBot="1">
      <c r="H457" s="266" t="s">
        <v>12</v>
      </c>
      <c r="I457" s="31">
        <v>2.2000000000000002</v>
      </c>
      <c r="J457" s="31">
        <v>0.08</v>
      </c>
      <c r="K457" s="31" t="s">
        <v>154</v>
      </c>
      <c r="L457" s="31">
        <v>6.27</v>
      </c>
      <c r="M457" s="31" t="s">
        <v>56</v>
      </c>
      <c r="N457" s="236">
        <v>8.5500000000000007</v>
      </c>
      <c r="O457" s="152"/>
    </row>
    <row r="458" spans="8:16" ht="15.75" thickBot="1">
      <c r="H458" s="266" t="s">
        <v>13</v>
      </c>
      <c r="I458" s="31">
        <v>1.1299999999999999</v>
      </c>
      <c r="J458" s="31">
        <v>0.14000000000000001</v>
      </c>
      <c r="K458" s="31" t="s">
        <v>154</v>
      </c>
      <c r="L458" s="31">
        <v>1.83</v>
      </c>
      <c r="M458" s="31" t="s">
        <v>56</v>
      </c>
      <c r="N458" s="236">
        <v>3.1</v>
      </c>
      <c r="O458" s="152"/>
    </row>
    <row r="459" spans="8:16" ht="15.75" thickBot="1">
      <c r="H459" s="266" t="s">
        <v>14</v>
      </c>
      <c r="I459" s="31">
        <v>0.5</v>
      </c>
      <c r="J459" s="31">
        <v>0.09</v>
      </c>
      <c r="K459" s="31" t="s">
        <v>56</v>
      </c>
      <c r="L459" s="31" t="s">
        <v>172</v>
      </c>
      <c r="M459" s="31" t="s">
        <v>56</v>
      </c>
      <c r="N459" s="236">
        <v>0.59</v>
      </c>
      <c r="O459" s="152"/>
    </row>
    <row r="460" spans="8:16" ht="15.75" thickBot="1">
      <c r="H460" s="266" t="s">
        <v>15</v>
      </c>
      <c r="I460" s="31">
        <v>0.44</v>
      </c>
      <c r="J460" s="31">
        <v>0.16</v>
      </c>
      <c r="K460" s="31" t="s">
        <v>56</v>
      </c>
      <c r="L460" s="31" t="s">
        <v>56</v>
      </c>
      <c r="M460" s="31">
        <v>0.01</v>
      </c>
      <c r="N460" s="236">
        <v>0.61</v>
      </c>
      <c r="O460" s="152"/>
    </row>
    <row r="461" spans="8:16" ht="15.75" thickBot="1">
      <c r="H461" s="266" t="s">
        <v>64</v>
      </c>
      <c r="I461" s="33">
        <v>0.38</v>
      </c>
      <c r="J461" s="33">
        <v>0.127</v>
      </c>
      <c r="K461" s="33" t="s">
        <v>56</v>
      </c>
      <c r="L461" s="33" t="s">
        <v>56</v>
      </c>
      <c r="M461" s="33">
        <f>+N461-I461-J461</f>
        <v>2.0000000000000018E-3</v>
      </c>
      <c r="N461" s="267">
        <v>0.50900000000000001</v>
      </c>
      <c r="O461" s="152"/>
    </row>
    <row r="462" spans="8:16" ht="15.75" thickBot="1">
      <c r="H462" s="268" t="s">
        <v>198</v>
      </c>
      <c r="I462" s="269">
        <v>0.52500000000000002</v>
      </c>
      <c r="J462" s="269">
        <v>0.123</v>
      </c>
      <c r="K462" s="269" t="s">
        <v>56</v>
      </c>
      <c r="L462" s="269" t="s">
        <v>56</v>
      </c>
      <c r="M462" s="269">
        <f>+N462-I462-J462</f>
        <v>3.0000000000000027E-3</v>
      </c>
      <c r="N462" s="270">
        <v>0.65100000000000002</v>
      </c>
      <c r="O462" s="140"/>
    </row>
    <row r="463" spans="8:16" ht="15.75" thickBot="1">
      <c r="H463" s="268" t="s">
        <v>268</v>
      </c>
      <c r="I463" s="269">
        <f>0.553+0.161</f>
        <v>0.71400000000000008</v>
      </c>
      <c r="J463" s="269">
        <v>0.11899999999999999</v>
      </c>
      <c r="K463" s="269" t="s">
        <v>56</v>
      </c>
      <c r="L463" s="269" t="s">
        <v>56</v>
      </c>
      <c r="M463" s="269">
        <f>+N463-I463-J463</f>
        <v>1.9999999999998908E-3</v>
      </c>
      <c r="N463" s="270">
        <v>0.83499999999999996</v>
      </c>
      <c r="O463" s="140"/>
    </row>
    <row r="465" spans="8:17" ht="15.75" thickBot="1"/>
    <row r="466" spans="8:17" ht="14.45" customHeight="1">
      <c r="H466" s="687" t="s">
        <v>173</v>
      </c>
      <c r="I466" s="688"/>
      <c r="J466" s="688"/>
      <c r="K466" s="688"/>
      <c r="L466" s="688"/>
      <c r="M466" s="688"/>
      <c r="N466" s="688"/>
      <c r="O466" s="689"/>
      <c r="P466" s="229"/>
      <c r="Q466" s="229"/>
    </row>
    <row r="467" spans="8:17" ht="15.75" thickBot="1">
      <c r="H467" s="708"/>
      <c r="I467" s="709"/>
      <c r="J467" s="709"/>
      <c r="K467" s="709"/>
      <c r="L467" s="709"/>
      <c r="M467" s="709"/>
      <c r="N467" s="709"/>
      <c r="O467" s="710"/>
      <c r="P467" s="229"/>
      <c r="Q467" s="229"/>
    </row>
    <row r="468" spans="8:17" ht="15" customHeight="1" thickBot="1">
      <c r="H468" s="271" t="s">
        <v>161</v>
      </c>
      <c r="I468" s="711" t="s">
        <v>32</v>
      </c>
      <c r="J468" s="712"/>
      <c r="K468" s="712"/>
      <c r="L468" s="712"/>
      <c r="M468" s="712"/>
      <c r="N468" s="712"/>
      <c r="O468" s="713"/>
      <c r="P468" s="230"/>
      <c r="Q468" s="230"/>
    </row>
    <row r="469" spans="8:17">
      <c r="H469" s="87" t="s">
        <v>0</v>
      </c>
      <c r="I469" s="88" t="s">
        <v>174</v>
      </c>
      <c r="J469" s="728" t="s">
        <v>176</v>
      </c>
      <c r="K469" s="51" t="s">
        <v>177</v>
      </c>
      <c r="L469" s="728" t="s">
        <v>179</v>
      </c>
      <c r="M469" s="728" t="s">
        <v>1</v>
      </c>
      <c r="N469" s="684" t="s">
        <v>4</v>
      </c>
      <c r="O469" s="728" t="s">
        <v>5</v>
      </c>
    </row>
    <row r="470" spans="8:17" ht="15.75" thickBot="1">
      <c r="H470" s="77"/>
      <c r="I470" s="96" t="s">
        <v>175</v>
      </c>
      <c r="J470" s="729"/>
      <c r="K470" s="36" t="s">
        <v>178</v>
      </c>
      <c r="L470" s="729"/>
      <c r="M470" s="729"/>
      <c r="N470" s="472"/>
      <c r="O470" s="729"/>
    </row>
    <row r="471" spans="8:17" ht="15.75" thickBot="1">
      <c r="H471" s="98" t="s">
        <v>7</v>
      </c>
      <c r="I471" s="31">
        <v>0.11</v>
      </c>
      <c r="J471" s="31">
        <v>0.27</v>
      </c>
      <c r="K471" s="31">
        <v>0.02</v>
      </c>
      <c r="L471" s="31">
        <v>0.06</v>
      </c>
      <c r="M471" s="31">
        <v>2.72</v>
      </c>
      <c r="N471" s="31">
        <v>0.32</v>
      </c>
      <c r="O471" s="31">
        <v>3.51</v>
      </c>
    </row>
    <row r="472" spans="8:17" ht="15.75" thickBot="1">
      <c r="H472" s="98" t="s">
        <v>8</v>
      </c>
      <c r="I472" s="31">
        <v>0.1</v>
      </c>
      <c r="J472" s="31">
        <v>0.25</v>
      </c>
      <c r="K472" s="31">
        <v>0.03</v>
      </c>
      <c r="L472" s="31">
        <v>0.1</v>
      </c>
      <c r="M472" s="31">
        <v>3.4</v>
      </c>
      <c r="N472" s="31">
        <v>0.24</v>
      </c>
      <c r="O472" s="31">
        <v>4.12</v>
      </c>
    </row>
    <row r="473" spans="8:17" ht="15.75" thickBot="1">
      <c r="H473" s="98" t="s">
        <v>9</v>
      </c>
      <c r="I473" s="31">
        <v>0.14000000000000001</v>
      </c>
      <c r="J473" s="31">
        <v>0.34</v>
      </c>
      <c r="K473" s="31">
        <v>0.1</v>
      </c>
      <c r="L473" s="31">
        <v>7.0000000000000007E-2</v>
      </c>
      <c r="M473" s="31">
        <v>5.77</v>
      </c>
      <c r="N473" s="31">
        <v>0.14000000000000001</v>
      </c>
      <c r="O473" s="31">
        <v>6.56</v>
      </c>
    </row>
    <row r="474" spans="8:17" ht="15.75" thickBot="1">
      <c r="H474" s="98" t="s">
        <v>10</v>
      </c>
      <c r="I474" s="31">
        <v>0.05</v>
      </c>
      <c r="J474" s="31">
        <v>0.31</v>
      </c>
      <c r="K474" s="31">
        <v>0.04</v>
      </c>
      <c r="L474" s="31">
        <v>0.08</v>
      </c>
      <c r="M474" s="31">
        <v>8.0399999999999991</v>
      </c>
      <c r="N474" s="31">
        <v>0.38</v>
      </c>
      <c r="O474" s="31">
        <v>8.9</v>
      </c>
    </row>
    <row r="475" spans="8:17" ht="15.75" thickBot="1">
      <c r="H475" s="98" t="s">
        <v>11</v>
      </c>
      <c r="I475" s="31">
        <v>0.02</v>
      </c>
      <c r="J475" s="31">
        <v>0.44</v>
      </c>
      <c r="K475" s="31">
        <v>0.03</v>
      </c>
      <c r="L475" s="31">
        <v>7.0000000000000007E-2</v>
      </c>
      <c r="M475" s="31">
        <v>4.28</v>
      </c>
      <c r="N475" s="31">
        <v>0.13</v>
      </c>
      <c r="O475" s="31">
        <v>4.97</v>
      </c>
    </row>
    <row r="476" spans="8:17" ht="15.75" thickBot="1">
      <c r="H476" s="98" t="s">
        <v>12</v>
      </c>
      <c r="I476" s="31">
        <v>0.04</v>
      </c>
      <c r="J476" s="31">
        <v>0.34</v>
      </c>
      <c r="K476" s="31" t="s">
        <v>180</v>
      </c>
      <c r="L476" s="31">
        <v>0.08</v>
      </c>
      <c r="M476" s="31">
        <v>7.84</v>
      </c>
      <c r="N476" s="31">
        <v>0.22</v>
      </c>
      <c r="O476" s="31">
        <v>8.5500000000000007</v>
      </c>
    </row>
    <row r="477" spans="8:17" ht="15.75" thickBot="1">
      <c r="H477" s="98" t="s">
        <v>13</v>
      </c>
      <c r="I477" s="31">
        <v>0.03</v>
      </c>
      <c r="J477" s="31">
        <v>0.36</v>
      </c>
      <c r="K477" s="31">
        <v>0.02</v>
      </c>
      <c r="L477" s="31">
        <v>0.03</v>
      </c>
      <c r="M477" s="31">
        <v>2.3199999999999998</v>
      </c>
      <c r="N477" s="31">
        <v>0.31</v>
      </c>
      <c r="O477" s="31">
        <v>3.1</v>
      </c>
    </row>
    <row r="478" spans="8:17" ht="15.75" thickBot="1">
      <c r="H478" s="98" t="s">
        <v>14</v>
      </c>
      <c r="I478" s="31" t="s">
        <v>56</v>
      </c>
      <c r="J478" s="31">
        <v>0.23</v>
      </c>
      <c r="K478" s="31">
        <v>0.03</v>
      </c>
      <c r="L478" s="31">
        <v>0.06</v>
      </c>
      <c r="M478" s="31" t="s">
        <v>56</v>
      </c>
      <c r="N478" s="31">
        <v>0.27</v>
      </c>
      <c r="O478" s="31">
        <v>0.59</v>
      </c>
    </row>
    <row r="479" spans="8:17" ht="15.75" thickBot="1">
      <c r="H479" s="104" t="s">
        <v>15</v>
      </c>
      <c r="I479" s="103">
        <v>0.04</v>
      </c>
      <c r="J479" s="103">
        <v>0.05</v>
      </c>
      <c r="K479" s="103">
        <v>0.05</v>
      </c>
      <c r="L479" s="103">
        <v>0.05</v>
      </c>
      <c r="M479" s="92" t="s">
        <v>56</v>
      </c>
      <c r="N479" s="103">
        <v>0.42</v>
      </c>
      <c r="O479" s="103">
        <v>0.61</v>
      </c>
    </row>
    <row r="480" spans="8:17" ht="15.75" thickBot="1">
      <c r="H480" s="105" t="s">
        <v>64</v>
      </c>
      <c r="I480" s="106">
        <v>3.7999999999999999E-2</v>
      </c>
      <c r="J480" s="106">
        <v>0</v>
      </c>
      <c r="K480" s="106">
        <v>7.4999999999999997E-2</v>
      </c>
      <c r="L480" s="106">
        <v>0</v>
      </c>
      <c r="M480" s="107" t="s">
        <v>56</v>
      </c>
      <c r="N480" s="106">
        <f>+O480-I480-J480-K480-L480</f>
        <v>0.39600000000000002</v>
      </c>
      <c r="O480" s="108">
        <v>0.50900000000000001</v>
      </c>
    </row>
    <row r="481" spans="8:18" ht="15.75" thickBot="1">
      <c r="H481" s="105" t="s">
        <v>198</v>
      </c>
      <c r="I481" s="106">
        <v>0.04</v>
      </c>
      <c r="J481" s="106">
        <v>0</v>
      </c>
      <c r="K481" s="106">
        <v>4.7E-2</v>
      </c>
      <c r="L481" s="106">
        <v>0</v>
      </c>
      <c r="M481" s="107" t="s">
        <v>56</v>
      </c>
      <c r="N481" s="106">
        <f>0.479+0.085</f>
        <v>0.56399999999999995</v>
      </c>
      <c r="O481" s="108">
        <v>0.65100000000000002</v>
      </c>
    </row>
    <row r="482" spans="8:18" ht="15.75" thickBot="1">
      <c r="H482" s="105" t="s">
        <v>268</v>
      </c>
      <c r="I482" s="106">
        <v>8.2000000000000003E-2</v>
      </c>
      <c r="J482" s="106">
        <v>0</v>
      </c>
      <c r="K482" s="106">
        <v>5.7000000000000002E-2</v>
      </c>
      <c r="L482" s="106">
        <v>0</v>
      </c>
      <c r="M482" s="107" t="s">
        <v>56</v>
      </c>
      <c r="N482" s="106">
        <f>O482-I482-K482</f>
        <v>0.69599999999999995</v>
      </c>
      <c r="O482" s="108">
        <v>0.83499999999999996</v>
      </c>
    </row>
    <row r="485" spans="8:18" ht="15.75" thickBot="1"/>
    <row r="486" spans="8:18" ht="16.149999999999999" customHeight="1" thickBot="1">
      <c r="H486" s="714" t="s">
        <v>181</v>
      </c>
      <c r="I486" s="715"/>
      <c r="J486" s="715"/>
      <c r="K486" s="715"/>
      <c r="L486" s="715"/>
      <c r="M486" s="715"/>
      <c r="N486" s="715"/>
      <c r="O486" s="715"/>
      <c r="P486" s="716"/>
      <c r="Q486" s="200"/>
      <c r="R486" s="200"/>
    </row>
    <row r="487" spans="8:18" ht="16.149999999999999" customHeight="1" thickBot="1">
      <c r="H487" s="637" t="s">
        <v>0</v>
      </c>
      <c r="I487" s="638"/>
      <c r="J487" s="475" t="s">
        <v>32</v>
      </c>
      <c r="K487" s="476"/>
      <c r="L487" s="476"/>
      <c r="M487" s="476"/>
      <c r="N487" s="476"/>
      <c r="O487" s="476"/>
      <c r="P487" s="717"/>
      <c r="Q487" s="200"/>
      <c r="R487" s="200"/>
    </row>
    <row r="488" spans="8:18" ht="15.6" customHeight="1">
      <c r="H488" s="639"/>
      <c r="I488" s="640"/>
      <c r="J488" s="724" t="s">
        <v>75</v>
      </c>
      <c r="K488" s="724" t="s">
        <v>182</v>
      </c>
      <c r="L488" s="109" t="s">
        <v>183</v>
      </c>
      <c r="M488" s="109" t="s">
        <v>185</v>
      </c>
      <c r="N488" s="109" t="s">
        <v>187</v>
      </c>
      <c r="O488" s="724" t="s">
        <v>4</v>
      </c>
      <c r="P488" s="726" t="s">
        <v>5</v>
      </c>
    </row>
    <row r="489" spans="8:18" ht="32.25" thickBot="1">
      <c r="H489" s="641"/>
      <c r="I489" s="642"/>
      <c r="J489" s="725"/>
      <c r="K489" s="725"/>
      <c r="L489" s="272" t="s">
        <v>184</v>
      </c>
      <c r="M489" s="272" t="s">
        <v>186</v>
      </c>
      <c r="N489" s="272" t="s">
        <v>188</v>
      </c>
      <c r="O489" s="725"/>
      <c r="P489" s="727"/>
    </row>
    <row r="490" spans="8:18" ht="15.75" thickBot="1">
      <c r="H490" s="402" t="s">
        <v>7</v>
      </c>
      <c r="I490" s="403"/>
      <c r="J490" s="31">
        <v>0.05</v>
      </c>
      <c r="K490" s="31">
        <v>0.28999999999999998</v>
      </c>
      <c r="L490" s="31">
        <v>0.42</v>
      </c>
      <c r="M490" s="31">
        <v>0.09</v>
      </c>
      <c r="N490" s="31" t="s">
        <v>56</v>
      </c>
      <c r="O490" s="31" t="s">
        <v>56</v>
      </c>
      <c r="P490" s="31">
        <v>0.85</v>
      </c>
    </row>
    <row r="491" spans="8:18" ht="15.75" thickBot="1">
      <c r="H491" s="402" t="s">
        <v>8</v>
      </c>
      <c r="I491" s="403"/>
      <c r="J491" s="31">
        <v>0.06</v>
      </c>
      <c r="K491" s="31">
        <v>0.26</v>
      </c>
      <c r="L491" s="31">
        <v>0.34</v>
      </c>
      <c r="M491" s="31">
        <v>0.05</v>
      </c>
      <c r="N491" s="31" t="s">
        <v>56</v>
      </c>
      <c r="O491" s="31"/>
      <c r="P491" s="31">
        <v>0.71</v>
      </c>
    </row>
    <row r="492" spans="8:18" ht="15.75" thickBot="1">
      <c r="H492" s="402" t="s">
        <v>9</v>
      </c>
      <c r="I492" s="403"/>
      <c r="J492" s="31">
        <v>7.0000000000000007E-2</v>
      </c>
      <c r="K492" s="31">
        <v>0.26</v>
      </c>
      <c r="L492" s="31">
        <v>0.31</v>
      </c>
      <c r="M492" s="31">
        <v>0.15</v>
      </c>
      <c r="N492" s="31">
        <v>0.02</v>
      </c>
      <c r="O492" s="31" t="s">
        <v>56</v>
      </c>
      <c r="P492" s="31">
        <v>0.81</v>
      </c>
    </row>
    <row r="493" spans="8:18" ht="15.75" thickBot="1">
      <c r="H493" s="402" t="s">
        <v>10</v>
      </c>
      <c r="I493" s="403"/>
      <c r="J493" s="31">
        <v>0.05</v>
      </c>
      <c r="K493" s="31">
        <v>0.16</v>
      </c>
      <c r="L493" s="31">
        <v>0.33</v>
      </c>
      <c r="M493" s="31">
        <v>0.27</v>
      </c>
      <c r="N493" s="31">
        <v>0.08</v>
      </c>
      <c r="O493" s="31" t="s">
        <v>56</v>
      </c>
      <c r="P493" s="31">
        <v>0.89</v>
      </c>
    </row>
    <row r="494" spans="8:18" ht="15.75" thickBot="1">
      <c r="H494" s="402" t="s">
        <v>11</v>
      </c>
      <c r="I494" s="403"/>
      <c r="J494" s="31">
        <v>0.02</v>
      </c>
      <c r="K494" s="31">
        <v>0.12</v>
      </c>
      <c r="L494" s="31">
        <v>0.39</v>
      </c>
      <c r="M494" s="31">
        <v>0.36</v>
      </c>
      <c r="N494" s="31">
        <v>0.01</v>
      </c>
      <c r="O494" s="31" t="s">
        <v>56</v>
      </c>
      <c r="P494" s="31">
        <v>0.9</v>
      </c>
    </row>
    <row r="495" spans="8:18" ht="15.75" thickBot="1">
      <c r="H495" s="402" t="s">
        <v>189</v>
      </c>
      <c r="I495" s="403"/>
      <c r="J495" s="31">
        <v>0.04</v>
      </c>
      <c r="K495" s="31">
        <v>7.0000000000000007E-2</v>
      </c>
      <c r="L495" s="31">
        <v>0.6</v>
      </c>
      <c r="M495" s="31">
        <v>0.33</v>
      </c>
      <c r="N495" s="31">
        <v>0.12</v>
      </c>
      <c r="O495" s="31" t="s">
        <v>56</v>
      </c>
      <c r="P495" s="31">
        <v>1.17</v>
      </c>
    </row>
    <row r="496" spans="8:18" ht="15.75" thickBot="1">
      <c r="H496" s="402" t="s">
        <v>190</v>
      </c>
      <c r="I496" s="403"/>
      <c r="J496" s="31">
        <v>0.06</v>
      </c>
      <c r="K496" s="31">
        <v>0.15</v>
      </c>
      <c r="L496" s="31">
        <v>0.86</v>
      </c>
      <c r="M496" s="31">
        <v>0.33</v>
      </c>
      <c r="N496" s="31">
        <v>0.21</v>
      </c>
      <c r="O496" s="31" t="s">
        <v>56</v>
      </c>
      <c r="P496" s="31">
        <v>1.61</v>
      </c>
    </row>
    <row r="497" spans="8:18" ht="15.75" thickBot="1">
      <c r="H497" s="402" t="s">
        <v>14</v>
      </c>
      <c r="I497" s="403"/>
      <c r="J497" s="31">
        <v>0.05</v>
      </c>
      <c r="K497" s="31">
        <v>0.06</v>
      </c>
      <c r="L497" s="31">
        <v>0.63</v>
      </c>
      <c r="M497" s="31">
        <v>0.23</v>
      </c>
      <c r="N497" s="31">
        <v>0.24</v>
      </c>
      <c r="O497" s="31" t="s">
        <v>56</v>
      </c>
      <c r="P497" s="31">
        <v>1.21</v>
      </c>
    </row>
    <row r="498" spans="8:18" ht="15.75" thickBot="1">
      <c r="H498" s="402" t="s">
        <v>15</v>
      </c>
      <c r="I498" s="403"/>
      <c r="J498" s="31">
        <v>0.03</v>
      </c>
      <c r="K498" s="31" t="s">
        <v>56</v>
      </c>
      <c r="L498" s="31">
        <v>0.37</v>
      </c>
      <c r="M498" s="31">
        <v>0.27</v>
      </c>
      <c r="N498" s="31">
        <v>0.25</v>
      </c>
      <c r="O498" s="31">
        <v>0.01</v>
      </c>
      <c r="P498" s="31">
        <v>0.93</v>
      </c>
    </row>
    <row r="499" spans="8:18" ht="15.75" thickBot="1">
      <c r="H499" s="402" t="s">
        <v>64</v>
      </c>
      <c r="I499" s="403"/>
      <c r="J499" s="33">
        <v>4.1000000000000002E-2</v>
      </c>
      <c r="K499" s="33">
        <v>0</v>
      </c>
      <c r="L499" s="33">
        <v>0.307</v>
      </c>
      <c r="M499" s="33">
        <v>0.24299999999999999</v>
      </c>
      <c r="N499" s="33">
        <v>0.26500000000000001</v>
      </c>
      <c r="O499" s="33">
        <f>+P499-J499-K499-L499-M499-N499</f>
        <v>1.0000000000000009E-2</v>
      </c>
      <c r="P499" s="33">
        <v>0.86599999999999999</v>
      </c>
    </row>
    <row r="500" spans="8:18" ht="15.75" thickBot="1">
      <c r="H500" s="633" t="s">
        <v>198</v>
      </c>
      <c r="I500" s="634"/>
      <c r="J500" s="33">
        <v>4.1000000000000002E-2</v>
      </c>
      <c r="K500" s="33">
        <v>0</v>
      </c>
      <c r="L500" s="33">
        <v>0.222</v>
      </c>
      <c r="M500" s="33">
        <v>0.19900000000000001</v>
      </c>
      <c r="N500" s="33">
        <v>0.23499999999999999</v>
      </c>
      <c r="O500" s="33">
        <f>+P500-J500-K500-L500-M500-N500</f>
        <v>0.12799999999999995</v>
      </c>
      <c r="P500" s="33">
        <v>0.82499999999999996</v>
      </c>
    </row>
    <row r="501" spans="8:18" ht="15.75" thickBot="1">
      <c r="H501" s="633" t="s">
        <v>268</v>
      </c>
      <c r="I501" s="634"/>
      <c r="J501" s="33">
        <v>0.03</v>
      </c>
      <c r="K501" s="33">
        <v>0</v>
      </c>
      <c r="L501" s="33">
        <f>0.03+0.269</f>
        <v>0.29900000000000004</v>
      </c>
      <c r="M501" s="33">
        <v>2.5000000000000001E-2</v>
      </c>
      <c r="N501" s="33">
        <v>0.25800000000000001</v>
      </c>
      <c r="O501" s="33">
        <f>+P501-J501-K501-L501-M501-N501</f>
        <v>0.24399999999999988</v>
      </c>
      <c r="P501" s="33">
        <v>0.85599999999999998</v>
      </c>
    </row>
    <row r="502" spans="8:18" ht="15.75" thickBot="1">
      <c r="H502" s="721"/>
      <c r="I502" s="722"/>
      <c r="J502" s="722"/>
      <c r="K502" s="722"/>
      <c r="L502" s="722"/>
      <c r="M502" s="722"/>
      <c r="N502" s="722"/>
      <c r="O502" s="722"/>
      <c r="P502" s="722"/>
      <c r="Q502" s="722"/>
      <c r="R502" s="723"/>
    </row>
    <row r="505" spans="8:18" ht="15.75" thickBot="1"/>
    <row r="506" spans="8:18" ht="32.450000000000003" customHeight="1">
      <c r="H506" s="517" t="s">
        <v>191</v>
      </c>
      <c r="I506" s="518"/>
      <c r="J506" s="518"/>
      <c r="K506" s="518"/>
      <c r="L506" s="518"/>
      <c r="M506" s="519"/>
      <c r="N506" s="200"/>
      <c r="O506" s="137"/>
    </row>
    <row r="507" spans="8:18" ht="16.5" thickBot="1">
      <c r="H507" s="718"/>
      <c r="I507" s="719"/>
      <c r="J507" s="719"/>
      <c r="K507" s="719"/>
      <c r="L507" s="719"/>
      <c r="M507" s="720"/>
      <c r="N507" s="200"/>
      <c r="O507" s="137"/>
    </row>
    <row r="508" spans="8:18" ht="16.149999999999999" customHeight="1" thickBot="1">
      <c r="H508" s="273"/>
      <c r="I508" s="475" t="s">
        <v>32</v>
      </c>
      <c r="J508" s="476"/>
      <c r="K508" s="476"/>
      <c r="L508" s="476"/>
      <c r="M508" s="717"/>
      <c r="N508" s="200"/>
      <c r="O508" s="137"/>
    </row>
    <row r="509" spans="8:18" ht="31.5">
      <c r="H509" s="274" t="s">
        <v>0</v>
      </c>
      <c r="I509" s="109" t="s">
        <v>174</v>
      </c>
      <c r="J509" s="109" t="s">
        <v>192</v>
      </c>
      <c r="K509" s="724" t="s">
        <v>194</v>
      </c>
      <c r="L509" s="724" t="s">
        <v>4</v>
      </c>
      <c r="M509" s="726" t="s">
        <v>5</v>
      </c>
      <c r="O509" s="137"/>
    </row>
    <row r="510" spans="8:18" ht="32.25" thickBot="1">
      <c r="H510" s="275"/>
      <c r="I510" s="272" t="s">
        <v>175</v>
      </c>
      <c r="J510" s="272" t="s">
        <v>193</v>
      </c>
      <c r="K510" s="725"/>
      <c r="L510" s="725"/>
      <c r="M510" s="727"/>
      <c r="O510" s="137"/>
    </row>
    <row r="511" spans="8:18" ht="15.75" thickBot="1">
      <c r="H511" s="93" t="s">
        <v>7</v>
      </c>
      <c r="I511" s="31">
        <v>0.75</v>
      </c>
      <c r="J511" s="31">
        <v>0.05</v>
      </c>
      <c r="K511" s="31">
        <v>0.02</v>
      </c>
      <c r="L511" s="31">
        <v>0.03</v>
      </c>
      <c r="M511" s="31">
        <v>0.85</v>
      </c>
      <c r="O511" s="152"/>
    </row>
    <row r="512" spans="8:18" ht="15.75" thickBot="1">
      <c r="H512" s="93" t="s">
        <v>8</v>
      </c>
      <c r="I512" s="31">
        <v>0.59</v>
      </c>
      <c r="J512" s="31">
        <v>0.06</v>
      </c>
      <c r="K512" s="31">
        <v>0.02</v>
      </c>
      <c r="L512" s="31">
        <v>0.04</v>
      </c>
      <c r="M512" s="31">
        <v>0.71</v>
      </c>
      <c r="O512" s="152"/>
    </row>
    <row r="513" spans="8:17" ht="15.75" thickBot="1">
      <c r="H513" s="93" t="s">
        <v>9</v>
      </c>
      <c r="I513" s="31">
        <v>0.67</v>
      </c>
      <c r="J513" s="31">
        <v>7.0000000000000007E-2</v>
      </c>
      <c r="K513" s="31">
        <v>0.03</v>
      </c>
      <c r="L513" s="31">
        <v>0.04</v>
      </c>
      <c r="M513" s="31">
        <v>0.81</v>
      </c>
      <c r="O513" s="152"/>
    </row>
    <row r="514" spans="8:17" ht="15.75" thickBot="1">
      <c r="H514" s="93" t="s">
        <v>10</v>
      </c>
      <c r="I514" s="31">
        <v>0.71</v>
      </c>
      <c r="J514" s="31">
        <v>0.09</v>
      </c>
      <c r="K514" s="31">
        <v>0.03</v>
      </c>
      <c r="L514" s="31">
        <v>0.06</v>
      </c>
      <c r="M514" s="31">
        <v>0.89</v>
      </c>
      <c r="O514" s="152"/>
    </row>
    <row r="515" spans="8:17" ht="15.75" thickBot="1">
      <c r="H515" s="93" t="s">
        <v>11</v>
      </c>
      <c r="I515" s="31">
        <v>0.8</v>
      </c>
      <c r="J515" s="31">
        <v>0.02</v>
      </c>
      <c r="K515" s="31">
        <v>0.05</v>
      </c>
      <c r="L515" s="31">
        <v>0.03</v>
      </c>
      <c r="M515" s="31">
        <v>0.9</v>
      </c>
      <c r="O515" s="152"/>
    </row>
    <row r="516" spans="8:17" ht="15.75" thickBot="1">
      <c r="H516" s="93" t="s">
        <v>12</v>
      </c>
      <c r="I516" s="31">
        <v>1.04</v>
      </c>
      <c r="J516" s="31">
        <v>0.05</v>
      </c>
      <c r="K516" s="31">
        <v>0.05</v>
      </c>
      <c r="L516" s="31">
        <v>0.03</v>
      </c>
      <c r="M516" s="31">
        <v>1.17</v>
      </c>
      <c r="O516" s="152"/>
    </row>
    <row r="517" spans="8:17" ht="15.75" thickBot="1">
      <c r="H517" s="93" t="s">
        <v>13</v>
      </c>
      <c r="I517" s="31">
        <v>1.5</v>
      </c>
      <c r="J517" s="31">
        <v>0.06</v>
      </c>
      <c r="K517" s="31">
        <v>0.04</v>
      </c>
      <c r="L517" s="31">
        <v>0.01</v>
      </c>
      <c r="M517" s="31">
        <v>1.61</v>
      </c>
      <c r="O517" s="152"/>
    </row>
    <row r="518" spans="8:17" ht="15.75" thickBot="1">
      <c r="H518" s="93" t="s">
        <v>14</v>
      </c>
      <c r="I518" s="31">
        <v>1.1100000000000001</v>
      </c>
      <c r="J518" s="31">
        <v>0.05</v>
      </c>
      <c r="K518" s="31">
        <v>0.03</v>
      </c>
      <c r="L518" s="31">
        <v>0.02</v>
      </c>
      <c r="M518" s="31">
        <v>1.21</v>
      </c>
      <c r="O518" s="152"/>
    </row>
    <row r="519" spans="8:17" ht="15.75" thickBot="1">
      <c r="H519" s="93" t="s">
        <v>15</v>
      </c>
      <c r="I519" s="31">
        <v>0.63</v>
      </c>
      <c r="J519" s="31">
        <v>0.25</v>
      </c>
      <c r="K519" s="31">
        <v>0.02</v>
      </c>
      <c r="L519" s="31">
        <v>0.03</v>
      </c>
      <c r="M519" s="31">
        <v>0.93</v>
      </c>
      <c r="O519" s="152"/>
    </row>
    <row r="520" spans="8:17" ht="15.75" thickBot="1">
      <c r="H520" s="93" t="s">
        <v>64</v>
      </c>
      <c r="I520" s="33">
        <v>0.78800000000000003</v>
      </c>
      <c r="J520" s="33">
        <v>4.1000000000000002E-2</v>
      </c>
      <c r="K520" s="33">
        <v>0</v>
      </c>
      <c r="L520" s="33">
        <f>+M520-I520-J520-K520</f>
        <v>3.6999999999999957E-2</v>
      </c>
      <c r="M520" s="33">
        <v>0.86599999999999999</v>
      </c>
      <c r="O520" s="152"/>
    </row>
    <row r="521" spans="8:17" ht="15.75" thickBot="1">
      <c r="H521" s="93" t="s">
        <v>198</v>
      </c>
      <c r="I521" s="33">
        <v>0.41899999999999998</v>
      </c>
      <c r="J521" s="33">
        <v>0.29199999999999998</v>
      </c>
      <c r="K521" s="33">
        <v>0</v>
      </c>
      <c r="L521" s="33">
        <v>0.12</v>
      </c>
      <c r="M521" s="33">
        <v>0.82499999999999996</v>
      </c>
      <c r="O521" s="140"/>
    </row>
    <row r="522" spans="8:17" ht="15.75" thickBot="1">
      <c r="H522" s="93" t="s">
        <v>268</v>
      </c>
      <c r="I522" s="33">
        <v>0.54600000000000004</v>
      </c>
      <c r="J522" s="33">
        <v>0.03</v>
      </c>
      <c r="K522" s="33">
        <v>0</v>
      </c>
      <c r="L522" s="33">
        <f>M522-I522-J522</f>
        <v>0.27999999999999992</v>
      </c>
      <c r="M522" s="33">
        <v>0.85599999999999998</v>
      </c>
      <c r="O522" s="140"/>
    </row>
    <row r="526" spans="8:17" ht="15.75" thickBot="1"/>
    <row r="527" spans="8:17" ht="31.15" customHeight="1" thickBot="1">
      <c r="H527" s="607" t="s">
        <v>195</v>
      </c>
      <c r="I527" s="608"/>
      <c r="J527" s="608"/>
      <c r="K527" s="608"/>
      <c r="L527" s="608"/>
      <c r="M527" s="608"/>
      <c r="N527" s="609"/>
      <c r="O527" s="135"/>
      <c r="P527" s="607"/>
      <c r="Q527" s="609"/>
    </row>
    <row r="528" spans="8:17" ht="15.75" thickBot="1">
      <c r="H528" s="610" t="s">
        <v>196</v>
      </c>
      <c r="I528" s="612" t="s">
        <v>12</v>
      </c>
      <c r="J528" s="612" t="s">
        <v>13</v>
      </c>
      <c r="K528" s="612" t="s">
        <v>14</v>
      </c>
      <c r="L528" s="612" t="s">
        <v>15</v>
      </c>
      <c r="M528" s="612" t="s">
        <v>64</v>
      </c>
      <c r="N528" s="612" t="s">
        <v>198</v>
      </c>
      <c r="O528" s="153"/>
      <c r="P528" s="623" t="s">
        <v>197</v>
      </c>
      <c r="Q528" s="624"/>
    </row>
    <row r="529" spans="8:17" ht="15.75" thickBot="1">
      <c r="H529" s="611"/>
      <c r="I529" s="613"/>
      <c r="J529" s="613"/>
      <c r="K529" s="613"/>
      <c r="L529" s="613"/>
      <c r="M529" s="613"/>
      <c r="N529" s="613"/>
      <c r="O529" s="154"/>
      <c r="P529" s="110" t="s">
        <v>64</v>
      </c>
      <c r="Q529" s="110" t="s">
        <v>198</v>
      </c>
    </row>
    <row r="530" spans="8:17" ht="15" customHeight="1" thickBot="1">
      <c r="H530" s="625" t="s">
        <v>199</v>
      </c>
      <c r="I530" s="626"/>
      <c r="J530" s="626"/>
      <c r="K530" s="626"/>
      <c r="L530" s="626"/>
      <c r="M530" s="626"/>
      <c r="N530" s="626"/>
      <c r="O530" s="276"/>
      <c r="P530" s="276"/>
      <c r="Q530" s="277"/>
    </row>
    <row r="531" spans="8:17" ht="15.75" thickBot="1">
      <c r="H531" s="111" t="s">
        <v>200</v>
      </c>
      <c r="I531" s="112">
        <v>14.2</v>
      </c>
      <c r="J531" s="112">
        <v>4.2</v>
      </c>
      <c r="K531" s="112">
        <v>3.2</v>
      </c>
      <c r="L531" s="112">
        <v>2.2000000000000002</v>
      </c>
      <c r="M531" s="113">
        <v>4.5</v>
      </c>
      <c r="N531" s="113"/>
      <c r="O531" s="113"/>
      <c r="P531" s="114">
        <v>6.6</v>
      </c>
      <c r="Q531" s="115">
        <v>7</v>
      </c>
    </row>
    <row r="532" spans="8:17" ht="15.75" thickBot="1">
      <c r="H532" s="116" t="s">
        <v>201</v>
      </c>
      <c r="I532" s="112">
        <v>5.7</v>
      </c>
      <c r="J532" s="112">
        <v>1.6</v>
      </c>
      <c r="K532" s="112">
        <v>-1.7</v>
      </c>
      <c r="L532" s="112">
        <v>-2.6</v>
      </c>
      <c r="M532" s="113">
        <v>1.8</v>
      </c>
      <c r="N532" s="113"/>
      <c r="O532" s="113"/>
      <c r="P532" s="114">
        <v>2.4</v>
      </c>
      <c r="Q532" s="115">
        <v>4.0999999999999996</v>
      </c>
    </row>
    <row r="533" spans="8:17" ht="26.25" thickBot="1">
      <c r="H533" s="116" t="s">
        <v>202</v>
      </c>
      <c r="I533" s="112">
        <v>35.5</v>
      </c>
      <c r="J533" s="112">
        <v>9.1</v>
      </c>
      <c r="K533" s="112">
        <v>12.2</v>
      </c>
      <c r="L533" s="112">
        <v>9.6999999999999993</v>
      </c>
      <c r="M533" s="113">
        <v>8.3000000000000007</v>
      </c>
      <c r="N533" s="113"/>
      <c r="O533" s="113"/>
      <c r="P533" s="114">
        <v>12.8</v>
      </c>
      <c r="Q533" s="115">
        <v>11.1</v>
      </c>
    </row>
    <row r="534" spans="8:17" ht="15.75" thickBot="1">
      <c r="H534" s="111" t="s">
        <v>203</v>
      </c>
      <c r="I534" s="112">
        <v>8.4</v>
      </c>
      <c r="J534" s="112">
        <v>9.3000000000000007</v>
      </c>
      <c r="K534" s="112">
        <v>6.3</v>
      </c>
      <c r="L534" s="112">
        <v>4.5</v>
      </c>
      <c r="M534" s="113">
        <v>4.7</v>
      </c>
      <c r="N534" s="113"/>
      <c r="O534" s="113"/>
      <c r="P534" s="114">
        <v>4.9000000000000004</v>
      </c>
      <c r="Q534" s="115">
        <v>5.5</v>
      </c>
    </row>
    <row r="535" spans="8:17" ht="15.75" thickBot="1">
      <c r="H535" s="116" t="s">
        <v>204</v>
      </c>
      <c r="I535" s="112">
        <v>1</v>
      </c>
      <c r="J535" s="112">
        <v>7.9</v>
      </c>
      <c r="K535" s="112">
        <v>5.7</v>
      </c>
      <c r="L535" s="112">
        <v>1.4</v>
      </c>
      <c r="M535" s="113">
        <v>4.7</v>
      </c>
      <c r="N535" s="113"/>
      <c r="O535" s="113"/>
      <c r="P535" s="114">
        <v>4.5</v>
      </c>
      <c r="Q535" s="115">
        <v>3.5</v>
      </c>
    </row>
    <row r="536" spans="8:17" ht="15.75" thickBot="1">
      <c r="H536" s="116" t="s">
        <v>205</v>
      </c>
      <c r="I536" s="112">
        <v>8.4</v>
      </c>
      <c r="J536" s="112">
        <v>9.1999999999999993</v>
      </c>
      <c r="K536" s="112">
        <v>6.2</v>
      </c>
      <c r="L536" s="112">
        <v>1</v>
      </c>
      <c r="M536" s="113">
        <v>0.4</v>
      </c>
      <c r="N536" s="113"/>
      <c r="O536" s="113"/>
      <c r="P536" s="114">
        <v>1.1000000000000001</v>
      </c>
      <c r="Q536" s="115">
        <v>3.2</v>
      </c>
    </row>
    <row r="537" spans="8:17" ht="15.75" thickBot="1">
      <c r="H537" s="116" t="s">
        <v>206</v>
      </c>
      <c r="I537" s="112">
        <v>10.5</v>
      </c>
      <c r="J537" s="112">
        <v>9.8000000000000007</v>
      </c>
      <c r="K537" s="112">
        <v>6.5</v>
      </c>
      <c r="L537" s="112">
        <v>7</v>
      </c>
      <c r="M537" s="113">
        <v>6.8</v>
      </c>
      <c r="N537" s="113"/>
      <c r="O537" s="113"/>
      <c r="P537" s="114">
        <v>6.8</v>
      </c>
      <c r="Q537" s="115">
        <v>6.9</v>
      </c>
    </row>
    <row r="538" spans="8:17" ht="26.25" thickBot="1">
      <c r="H538" s="111" t="s">
        <v>207</v>
      </c>
      <c r="I538" s="117"/>
      <c r="J538" s="117"/>
      <c r="K538" s="117"/>
      <c r="L538" s="117"/>
      <c r="M538" s="118"/>
      <c r="N538" s="118"/>
      <c r="O538" s="118"/>
      <c r="P538" s="119"/>
      <c r="Q538" s="120"/>
    </row>
    <row r="539" spans="8:17" ht="26.25" thickBot="1">
      <c r="H539" s="121" t="s">
        <v>208</v>
      </c>
      <c r="I539" s="122">
        <v>-3.5</v>
      </c>
      <c r="J539" s="122">
        <v>40.5</v>
      </c>
      <c r="K539" s="122">
        <v>21.8</v>
      </c>
      <c r="L539" s="122">
        <v>-1.8</v>
      </c>
      <c r="M539" s="123" t="s">
        <v>209</v>
      </c>
      <c r="N539" s="123"/>
      <c r="O539" s="123"/>
      <c r="P539" s="114">
        <v>5.14</v>
      </c>
      <c r="Q539" s="115">
        <v>6.47</v>
      </c>
    </row>
    <row r="540" spans="8:17" ht="26.25" thickBot="1">
      <c r="H540" s="124" t="s">
        <v>210</v>
      </c>
      <c r="I540" s="125">
        <v>-5</v>
      </c>
      <c r="J540" s="125">
        <v>28.2</v>
      </c>
      <c r="K540" s="125">
        <v>32.299999999999997</v>
      </c>
      <c r="L540" s="125">
        <v>0.3</v>
      </c>
      <c r="M540" s="186" t="s">
        <v>211</v>
      </c>
      <c r="N540" s="186"/>
      <c r="O540" s="112"/>
      <c r="P540" s="115" t="s">
        <v>212</v>
      </c>
      <c r="Q540" s="115">
        <v>1.57</v>
      </c>
    </row>
    <row r="541" spans="8:17" ht="15.75" thickBot="1">
      <c r="H541" s="614" t="s">
        <v>213</v>
      </c>
      <c r="I541" s="615"/>
      <c r="J541" s="615"/>
      <c r="K541" s="615"/>
      <c r="L541" s="615"/>
      <c r="M541" s="615"/>
      <c r="N541" s="615"/>
      <c r="O541" s="615"/>
      <c r="P541" s="615"/>
      <c r="Q541" s="616"/>
    </row>
    <row r="542" spans="8:17" ht="26.25" thickBot="1">
      <c r="H542" s="111" t="s">
        <v>214</v>
      </c>
      <c r="I542" s="112">
        <v>0</v>
      </c>
      <c r="J542" s="112">
        <v>5.4</v>
      </c>
      <c r="K542" s="112">
        <v>4.0999999999999996</v>
      </c>
      <c r="L542" s="112">
        <v>3.4</v>
      </c>
      <c r="M542" s="112">
        <v>3.3</v>
      </c>
      <c r="O542" s="112"/>
      <c r="P542" s="115" t="s">
        <v>215</v>
      </c>
      <c r="Q542" s="115" t="s">
        <v>216</v>
      </c>
    </row>
    <row r="543" spans="8:17" ht="26.25" thickBot="1">
      <c r="H543" s="116" t="s">
        <v>217</v>
      </c>
      <c r="I543" s="112">
        <v>-3.4</v>
      </c>
      <c r="J543" s="112">
        <v>3.1</v>
      </c>
      <c r="K543" s="112">
        <v>1.7</v>
      </c>
      <c r="L543" s="112">
        <v>1.2</v>
      </c>
      <c r="M543" s="112">
        <v>1.4</v>
      </c>
      <c r="O543" s="112"/>
      <c r="P543" s="115" t="s">
        <v>218</v>
      </c>
      <c r="Q543" s="115" t="s">
        <v>219</v>
      </c>
    </row>
    <row r="544" spans="8:17" ht="26.25" thickBot="1">
      <c r="H544" s="116" t="s">
        <v>220</v>
      </c>
      <c r="I544" s="112">
        <v>3.1</v>
      </c>
      <c r="J544" s="112">
        <v>7.5</v>
      </c>
      <c r="K544" s="112">
        <v>6.2</v>
      </c>
      <c r="L544" s="112">
        <v>5.0999999999999996</v>
      </c>
      <c r="M544" s="112">
        <v>4.7</v>
      </c>
      <c r="O544" s="112"/>
      <c r="P544" s="115" t="s">
        <v>221</v>
      </c>
      <c r="Q544" s="115" t="s">
        <v>222</v>
      </c>
    </row>
    <row r="545" spans="8:17" ht="39" thickBot="1">
      <c r="H545" s="126" t="s">
        <v>223</v>
      </c>
      <c r="I545" s="112">
        <v>-2.2000000000000002</v>
      </c>
      <c r="J545" s="112">
        <v>4.0999999999999996</v>
      </c>
      <c r="K545" s="112">
        <v>2.8</v>
      </c>
      <c r="L545" s="112">
        <v>2.2999999999999998</v>
      </c>
      <c r="M545" s="112">
        <v>2.2999999999999998</v>
      </c>
      <c r="O545" s="112"/>
      <c r="P545" s="115" t="s">
        <v>224</v>
      </c>
      <c r="Q545" s="120"/>
    </row>
    <row r="546" spans="8:17" ht="26.25" thickBot="1">
      <c r="H546" s="116" t="s">
        <v>217</v>
      </c>
      <c r="I546" s="112">
        <v>-3.8</v>
      </c>
      <c r="J546" s="112">
        <v>2.6</v>
      </c>
      <c r="K546" s="112">
        <v>1.4</v>
      </c>
      <c r="L546" s="112">
        <v>1.1000000000000001</v>
      </c>
      <c r="M546" s="112">
        <v>1.3</v>
      </c>
      <c r="O546" s="112"/>
      <c r="P546" s="115" t="s">
        <v>218</v>
      </c>
      <c r="Q546" s="120"/>
    </row>
    <row r="547" spans="8:17" ht="26.25" thickBot="1">
      <c r="H547" s="116" t="s">
        <v>220</v>
      </c>
      <c r="I547" s="112">
        <v>2.4</v>
      </c>
      <c r="J547" s="112">
        <v>7.9</v>
      </c>
      <c r="K547" s="112">
        <v>6</v>
      </c>
      <c r="L547" s="112">
        <v>4.7</v>
      </c>
      <c r="M547" s="112">
        <v>4.5999999999999996</v>
      </c>
      <c r="O547" s="112"/>
      <c r="P547" s="115" t="s">
        <v>225</v>
      </c>
      <c r="Q547" s="120"/>
    </row>
    <row r="548" spans="8:17" ht="26.25" thickBot="1">
      <c r="H548" s="116" t="s">
        <v>226</v>
      </c>
      <c r="I548" s="112">
        <v>-6.6</v>
      </c>
      <c r="J548" s="112">
        <v>4.5</v>
      </c>
      <c r="K548" s="112">
        <v>4.7</v>
      </c>
      <c r="L548" s="112">
        <v>3.3</v>
      </c>
      <c r="M548" s="112">
        <v>2</v>
      </c>
      <c r="O548" s="112"/>
      <c r="P548" s="115" t="s">
        <v>227</v>
      </c>
      <c r="Q548" s="120"/>
    </row>
    <row r="549" spans="8:17" ht="39" thickBot="1">
      <c r="H549" s="111" t="s">
        <v>228</v>
      </c>
      <c r="I549" s="112">
        <v>-11.9</v>
      </c>
      <c r="J549" s="112">
        <v>14</v>
      </c>
      <c r="K549" s="112">
        <v>6.8</v>
      </c>
      <c r="L549" s="112">
        <v>2.7</v>
      </c>
      <c r="M549" s="112">
        <v>2.7</v>
      </c>
      <c r="O549" s="112"/>
      <c r="P549" s="127" t="s">
        <v>229</v>
      </c>
      <c r="Q549" s="115" t="s">
        <v>230</v>
      </c>
    </row>
    <row r="550" spans="8:17" ht="39" thickBot="1">
      <c r="H550" s="111" t="s">
        <v>231</v>
      </c>
      <c r="I550" s="117"/>
      <c r="J550" s="117"/>
      <c r="K550" s="117"/>
      <c r="L550" s="117"/>
      <c r="M550" s="117"/>
      <c r="O550" s="117"/>
      <c r="P550" s="115"/>
      <c r="Q550" s="120"/>
    </row>
    <row r="551" spans="8:17" ht="26.25" thickBot="1">
      <c r="H551" s="116" t="s">
        <v>217</v>
      </c>
      <c r="I551" s="112">
        <v>-13.5</v>
      </c>
      <c r="J551" s="112">
        <v>14.5</v>
      </c>
      <c r="K551" s="112">
        <v>6</v>
      </c>
      <c r="L551" s="112">
        <v>1.7</v>
      </c>
      <c r="M551" s="112">
        <v>1.9</v>
      </c>
      <c r="O551" s="112"/>
      <c r="P551" s="115" t="s">
        <v>232</v>
      </c>
      <c r="Q551" s="115" t="s">
        <v>233</v>
      </c>
    </row>
    <row r="552" spans="8:17" ht="26.25" thickBot="1">
      <c r="H552" s="116" t="s">
        <v>220</v>
      </c>
      <c r="I552" s="112">
        <v>-7.8</v>
      </c>
      <c r="J552" s="112">
        <v>13.5</v>
      </c>
      <c r="K552" s="112">
        <v>7.3</v>
      </c>
      <c r="L552" s="112">
        <v>5.0999999999999996</v>
      </c>
      <c r="M552" s="112">
        <v>4.3</v>
      </c>
      <c r="O552" s="112"/>
      <c r="P552" s="115">
        <v>4</v>
      </c>
      <c r="Q552" s="115">
        <v>5.7</v>
      </c>
    </row>
    <row r="553" spans="8:17" ht="26.25" thickBot="1">
      <c r="H553" s="111" t="s">
        <v>234</v>
      </c>
      <c r="I553" s="117"/>
      <c r="J553" s="117"/>
      <c r="K553" s="117"/>
      <c r="L553" s="117"/>
      <c r="M553" s="117"/>
      <c r="O553" s="117"/>
      <c r="P553" s="115"/>
      <c r="Q553" s="120"/>
    </row>
    <row r="554" spans="8:17" ht="26.25" thickBot="1">
      <c r="H554" s="116" t="s">
        <v>217</v>
      </c>
      <c r="I554" s="112">
        <v>-13.7</v>
      </c>
      <c r="J554" s="112">
        <v>13.5</v>
      </c>
      <c r="K554" s="112">
        <v>5.2</v>
      </c>
      <c r="L554" s="112">
        <v>0.5</v>
      </c>
      <c r="M554" s="112">
        <v>1.3</v>
      </c>
      <c r="O554" s="112"/>
      <c r="P554" s="115" t="s">
        <v>235</v>
      </c>
      <c r="Q554" s="115" t="s">
        <v>236</v>
      </c>
    </row>
    <row r="555" spans="8:17" ht="26.25" thickBot="1">
      <c r="H555" s="116" t="s">
        <v>220</v>
      </c>
      <c r="I555" s="112">
        <v>-9.5</v>
      </c>
      <c r="J555" s="112">
        <v>14.8</v>
      </c>
      <c r="K555" s="112">
        <v>10.5</v>
      </c>
      <c r="L555" s="112">
        <v>6</v>
      </c>
      <c r="M555" s="112">
        <v>4.8</v>
      </c>
      <c r="O555" s="112"/>
      <c r="P555" s="115" t="s">
        <v>237</v>
      </c>
      <c r="Q555" s="115" t="s">
        <v>238</v>
      </c>
    </row>
    <row r="556" spans="8:17" ht="39" thickBot="1">
      <c r="H556" s="111" t="s">
        <v>239</v>
      </c>
      <c r="I556" s="112">
        <v>-5</v>
      </c>
      <c r="J556" s="112">
        <v>7.4</v>
      </c>
      <c r="K556" s="112">
        <v>4.3</v>
      </c>
      <c r="L556" s="112">
        <v>4.5999999999999996</v>
      </c>
      <c r="M556" s="112">
        <v>3.6</v>
      </c>
      <c r="O556" s="112"/>
      <c r="P556" s="115" t="s">
        <v>240</v>
      </c>
      <c r="Q556" s="120"/>
    </row>
    <row r="557" spans="8:17" ht="26.25" thickBot="1">
      <c r="H557" s="116" t="s">
        <v>241</v>
      </c>
      <c r="I557" s="112">
        <v>-4.5</v>
      </c>
      <c r="J557" s="112">
        <v>7</v>
      </c>
      <c r="K557" s="112">
        <v>4.5</v>
      </c>
      <c r="L557" s="112">
        <v>4.7</v>
      </c>
      <c r="M557" s="112">
        <v>3.8</v>
      </c>
      <c r="O557" s="112"/>
      <c r="P557" s="115" t="s">
        <v>240</v>
      </c>
      <c r="Q557" s="120"/>
    </row>
    <row r="558" spans="8:17" ht="26.25" thickBot="1">
      <c r="H558" s="121" t="s">
        <v>242</v>
      </c>
      <c r="I558" s="122">
        <v>-5.5</v>
      </c>
      <c r="J558" s="122">
        <v>7.8</v>
      </c>
      <c r="K558" s="122">
        <v>4.2</v>
      </c>
      <c r="L558" s="122">
        <v>4.4000000000000004</v>
      </c>
      <c r="M558" s="122">
        <v>3.4</v>
      </c>
      <c r="O558" s="122"/>
      <c r="P558" s="128" t="s">
        <v>240</v>
      </c>
      <c r="Q558" s="129"/>
    </row>
    <row r="559" spans="8:17" ht="15.75" thickTop="1">
      <c r="H559" s="617"/>
      <c r="I559" s="618"/>
      <c r="J559" s="618"/>
      <c r="K559" s="618"/>
      <c r="L559" s="618"/>
      <c r="M559" s="618"/>
      <c r="N559" s="618"/>
      <c r="O559" s="618"/>
      <c r="P559" s="618"/>
      <c r="Q559" s="619"/>
    </row>
    <row r="560" spans="8:17">
      <c r="H560" s="604" t="s">
        <v>243</v>
      </c>
      <c r="I560" s="605"/>
      <c r="J560" s="605"/>
      <c r="K560" s="605"/>
      <c r="L560" s="605"/>
      <c r="M560" s="605"/>
      <c r="N560" s="605"/>
      <c r="O560" s="605"/>
      <c r="P560" s="605"/>
      <c r="Q560" s="606"/>
    </row>
    <row r="561" spans="8:17" ht="26.45" customHeight="1">
      <c r="H561" s="604" t="s">
        <v>244</v>
      </c>
      <c r="I561" s="605"/>
      <c r="J561" s="605"/>
      <c r="K561" s="605"/>
      <c r="L561" s="605"/>
      <c r="M561" s="605"/>
      <c r="N561" s="605"/>
      <c r="O561" s="605"/>
      <c r="P561" s="605"/>
      <c r="Q561" s="606"/>
    </row>
    <row r="562" spans="8:17">
      <c r="H562" s="604" t="s">
        <v>245</v>
      </c>
      <c r="I562" s="605"/>
      <c r="J562" s="605"/>
      <c r="K562" s="605"/>
      <c r="L562" s="605"/>
      <c r="M562" s="605"/>
      <c r="N562" s="605"/>
      <c r="O562" s="605"/>
      <c r="P562" s="605"/>
      <c r="Q562" s="606"/>
    </row>
    <row r="563" spans="8:17">
      <c r="H563" s="604" t="s">
        <v>246</v>
      </c>
      <c r="I563" s="605"/>
      <c r="J563" s="605"/>
      <c r="K563" s="605"/>
      <c r="L563" s="605"/>
      <c r="M563" s="605"/>
      <c r="N563" s="605"/>
      <c r="O563" s="605"/>
      <c r="P563" s="605"/>
      <c r="Q563" s="606"/>
    </row>
    <row r="564" spans="8:17">
      <c r="H564" s="604" t="s">
        <v>247</v>
      </c>
      <c r="I564" s="605"/>
      <c r="J564" s="605"/>
      <c r="K564" s="605"/>
      <c r="L564" s="605"/>
      <c r="M564" s="605"/>
      <c r="N564" s="605"/>
      <c r="O564" s="605"/>
      <c r="P564" s="605"/>
      <c r="Q564" s="606"/>
    </row>
    <row r="565" spans="8:17" ht="26.45" customHeight="1">
      <c r="H565" s="620" t="s">
        <v>248</v>
      </c>
      <c r="I565" s="621"/>
      <c r="J565" s="621"/>
      <c r="K565" s="621"/>
      <c r="L565" s="621"/>
      <c r="M565" s="621"/>
      <c r="N565" s="621"/>
      <c r="O565" s="621"/>
      <c r="P565" s="621"/>
      <c r="Q565" s="622"/>
    </row>
    <row r="566" spans="8:17" ht="15.75" thickBot="1">
      <c r="H566" s="598" t="s">
        <v>249</v>
      </c>
      <c r="I566" s="599"/>
      <c r="J566" s="599"/>
      <c r="K566" s="599"/>
      <c r="L566" s="599"/>
      <c r="M566" s="599"/>
      <c r="N566" s="599"/>
      <c r="O566" s="599"/>
      <c r="P566" s="599"/>
      <c r="Q566" s="600"/>
    </row>
  </sheetData>
  <mergeCells count="226">
    <mergeCell ref="H530:N530"/>
    <mergeCell ref="H466:O466"/>
    <mergeCell ref="H467:O467"/>
    <mergeCell ref="I468:O468"/>
    <mergeCell ref="H486:P486"/>
    <mergeCell ref="J487:P487"/>
    <mergeCell ref="H506:M506"/>
    <mergeCell ref="H507:M507"/>
    <mergeCell ref="I508:M508"/>
    <mergeCell ref="N528:N529"/>
    <mergeCell ref="H502:R502"/>
    <mergeCell ref="K509:K510"/>
    <mergeCell ref="L509:L510"/>
    <mergeCell ref="M509:M510"/>
    <mergeCell ref="J488:J489"/>
    <mergeCell ref="K488:K489"/>
    <mergeCell ref="O488:O489"/>
    <mergeCell ref="P488:P489"/>
    <mergeCell ref="J469:J470"/>
    <mergeCell ref="L469:L470"/>
    <mergeCell ref="M469:M470"/>
    <mergeCell ref="N469:N470"/>
    <mergeCell ref="O469:O470"/>
    <mergeCell ref="I414:N414"/>
    <mergeCell ref="H431:M431"/>
    <mergeCell ref="H432:M432"/>
    <mergeCell ref="I433:M433"/>
    <mergeCell ref="H449:N449"/>
    <mergeCell ref="I450:N450"/>
    <mergeCell ref="H87:H88"/>
    <mergeCell ref="H96:N96"/>
    <mergeCell ref="H97:N97"/>
    <mergeCell ref="L98:N98"/>
    <mergeCell ref="H396:H397"/>
    <mergeCell ref="H414:H416"/>
    <mergeCell ref="I415:I416"/>
    <mergeCell ref="K415:K416"/>
    <mergeCell ref="L415:L416"/>
    <mergeCell ref="M415:M416"/>
    <mergeCell ref="N415:N416"/>
    <mergeCell ref="H376:N376"/>
    <mergeCell ref="H377:N377"/>
    <mergeCell ref="H394:N394"/>
    <mergeCell ref="H395:N395"/>
    <mergeCell ref="H358:H360"/>
    <mergeCell ref="H134:P134"/>
    <mergeCell ref="H158:P158"/>
    <mergeCell ref="B186:E186"/>
    <mergeCell ref="H261:H262"/>
    <mergeCell ref="H293:H294"/>
    <mergeCell ref="H501:I501"/>
    <mergeCell ref="AI48:AP48"/>
    <mergeCell ref="AI49:AP49"/>
    <mergeCell ref="AI50:AP50"/>
    <mergeCell ref="AI51:AP51"/>
    <mergeCell ref="H433:H434"/>
    <mergeCell ref="H500:I500"/>
    <mergeCell ref="H487:I489"/>
    <mergeCell ref="I359:I360"/>
    <mergeCell ref="K359:K360"/>
    <mergeCell ref="N359:N360"/>
    <mergeCell ref="R340:R341"/>
    <mergeCell ref="H339:H341"/>
    <mergeCell ref="I340:I341"/>
    <mergeCell ref="J340:J341"/>
    <mergeCell ref="K340:K341"/>
    <mergeCell ref="M340:M341"/>
    <mergeCell ref="I396:N396"/>
    <mergeCell ref="H412:N412"/>
    <mergeCell ref="N340:N341"/>
    <mergeCell ref="O340:O341"/>
    <mergeCell ref="AK9:AK10"/>
    <mergeCell ref="AL9:AL10"/>
    <mergeCell ref="AM9:AM10"/>
    <mergeCell ref="AN9:AN10"/>
    <mergeCell ref="AO9:AP9"/>
    <mergeCell ref="AI11:AP11"/>
    <mergeCell ref="AI22:AP22"/>
    <mergeCell ref="AI46:AP46"/>
    <mergeCell ref="AI47:AP47"/>
    <mergeCell ref="H566:Q566"/>
    <mergeCell ref="AI44:AP44"/>
    <mergeCell ref="AI45:AP45"/>
    <mergeCell ref="AI8:AN8"/>
    <mergeCell ref="AO8:AP8"/>
    <mergeCell ref="AI9:AI10"/>
    <mergeCell ref="AJ9:AJ10"/>
    <mergeCell ref="H541:Q541"/>
    <mergeCell ref="H559:Q559"/>
    <mergeCell ref="H560:Q560"/>
    <mergeCell ref="H561:Q561"/>
    <mergeCell ref="H562:Q562"/>
    <mergeCell ref="H563:Q563"/>
    <mergeCell ref="H564:Q564"/>
    <mergeCell ref="H565:Q565"/>
    <mergeCell ref="H527:N527"/>
    <mergeCell ref="P527:Q527"/>
    <mergeCell ref="H528:H529"/>
    <mergeCell ref="I528:I529"/>
    <mergeCell ref="J528:J529"/>
    <mergeCell ref="K528:K529"/>
    <mergeCell ref="L528:L529"/>
    <mergeCell ref="M528:M529"/>
    <mergeCell ref="P528:Q528"/>
    <mergeCell ref="H106:H107"/>
    <mergeCell ref="H128:P128"/>
    <mergeCell ref="H136:H137"/>
    <mergeCell ref="H138:H139"/>
    <mergeCell ref="H140:H141"/>
    <mergeCell ref="H118:H119"/>
    <mergeCell ref="H120:H121"/>
    <mergeCell ref="H122:H123"/>
    <mergeCell ref="H124:H125"/>
    <mergeCell ref="H126:H127"/>
    <mergeCell ref="H108:H109"/>
    <mergeCell ref="H337:O337"/>
    <mergeCell ref="H338:O338"/>
    <mergeCell ref="I339:O339"/>
    <mergeCell ref="H357:N357"/>
    <mergeCell ref="H110:H111"/>
    <mergeCell ref="H112:H113"/>
    <mergeCell ref="H114:H115"/>
    <mergeCell ref="H116:H117"/>
    <mergeCell ref="H142:H143"/>
    <mergeCell ref="H154:H155"/>
    <mergeCell ref="H156:H157"/>
    <mergeCell ref="H144:H145"/>
    <mergeCell ref="H146:H147"/>
    <mergeCell ref="H148:H149"/>
    <mergeCell ref="H150:H151"/>
    <mergeCell ref="H152:H153"/>
    <mergeCell ref="H239:H240"/>
    <mergeCell ref="H235:O235"/>
    <mergeCell ref="H236:O236"/>
    <mergeCell ref="H185:K185"/>
    <mergeCell ref="H208:L208"/>
    <mergeCell ref="H209:H211"/>
    <mergeCell ref="I209:J209"/>
    <mergeCell ref="K209:L209"/>
    <mergeCell ref="I358:N358"/>
    <mergeCell ref="H224:H225"/>
    <mergeCell ref="I224:K224"/>
    <mergeCell ref="H216:H217"/>
    <mergeCell ref="I216:I217"/>
    <mergeCell ref="J216:J217"/>
    <mergeCell ref="K216:K217"/>
    <mergeCell ref="L216:L217"/>
    <mergeCell ref="H241:H242"/>
    <mergeCell ref="H243:H244"/>
    <mergeCell ref="H245:H246"/>
    <mergeCell ref="H247:H248"/>
    <mergeCell ref="I237:I238"/>
    <mergeCell ref="J237:J238"/>
    <mergeCell ref="L237:L238"/>
    <mergeCell ref="M237:M238"/>
    <mergeCell ref="N237:N238"/>
    <mergeCell ref="H249:H250"/>
    <mergeCell ref="H251:H252"/>
    <mergeCell ref="H253:H254"/>
    <mergeCell ref="H255:H256"/>
    <mergeCell ref="H257:H258"/>
    <mergeCell ref="H263:O263"/>
    <mergeCell ref="H267:P267"/>
    <mergeCell ref="H63:H64"/>
    <mergeCell ref="B43:E43"/>
    <mergeCell ref="B44:E44"/>
    <mergeCell ref="H65:H66"/>
    <mergeCell ref="H67:H68"/>
    <mergeCell ref="H69:H70"/>
    <mergeCell ref="H71:H72"/>
    <mergeCell ref="H102:H103"/>
    <mergeCell ref="H104:H105"/>
    <mergeCell ref="H73:H74"/>
    <mergeCell ref="H75:H76"/>
    <mergeCell ref="H77:H78"/>
    <mergeCell ref="H90:Q90"/>
    <mergeCell ref="H79:H80"/>
    <mergeCell ref="H81:H82"/>
    <mergeCell ref="H83:H84"/>
    <mergeCell ref="H85:H86"/>
    <mergeCell ref="H89:Q89"/>
    <mergeCell ref="H62:O62"/>
    <mergeCell ref="I63:O63"/>
    <mergeCell ref="H98:H99"/>
    <mergeCell ref="I98:K98"/>
    <mergeCell ref="H100:H101"/>
    <mergeCell ref="V26:V27"/>
    <mergeCell ref="V32:AC32"/>
    <mergeCell ref="V2:AC2"/>
    <mergeCell ref="W5:AC5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:P6"/>
    <mergeCell ref="H28:H29"/>
    <mergeCell ref="H30:H31"/>
    <mergeCell ref="H32:P32"/>
    <mergeCell ref="J210:J211"/>
    <mergeCell ref="L210:L211"/>
    <mergeCell ref="H223:K223"/>
    <mergeCell ref="H164:L164"/>
    <mergeCell ref="H165:H166"/>
    <mergeCell ref="I165:J165"/>
    <mergeCell ref="K165:L165"/>
    <mergeCell ref="O237:O238"/>
    <mergeCell ref="I269:O269"/>
    <mergeCell ref="H259:H260"/>
    <mergeCell ref="H269:H270"/>
    <mergeCell ref="H321:H322"/>
    <mergeCell ref="H291:H292"/>
    <mergeCell ref="H303:H304"/>
    <mergeCell ref="H295:P295"/>
    <mergeCell ref="H296:P296"/>
    <mergeCell ref="I303:P303"/>
    <mergeCell ref="H301:P301"/>
    <mergeCell ref="H302:P302"/>
    <mergeCell ref="H320:R320"/>
    <mergeCell ref="I321:R321"/>
    <mergeCell ref="H317:P317"/>
  </mergeCells>
  <pageMargins left="0.62" right="0.28999999999999998" top="0.23" bottom="0.14000000000000001" header="0.24" footer="0.14000000000000001"/>
  <pageSetup scale="86" orientation="portrait" r:id="rId1"/>
  <rowBreaks count="7" manualBreakCount="7">
    <brk id="210" max="39" man="1"/>
    <brk id="263" max="16383" man="1"/>
    <brk id="279" max="39" man="1"/>
    <brk id="373" max="16383" man="1"/>
    <brk id="429" max="16383" man="1"/>
    <brk id="484" max="16383" man="1"/>
    <brk id="523" max="16383" man="1"/>
  </rowBreaks>
  <colBreaks count="2" manualBreakCount="2">
    <brk id="7" max="565" man="1"/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9" sqref="J19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2:AN31"/>
  <sheetViews>
    <sheetView workbookViewId="0">
      <selection activeCell="AA7" sqref="AA7"/>
    </sheetView>
  </sheetViews>
  <sheetFormatPr defaultRowHeight="15"/>
  <cols>
    <col min="1" max="1" width="4.140625" customWidth="1"/>
    <col min="2" max="2" width="5.5703125" customWidth="1"/>
    <col min="4" max="4" width="6.42578125" customWidth="1"/>
    <col min="5" max="5" width="7.140625" customWidth="1"/>
    <col min="6" max="6" width="7" customWidth="1"/>
    <col min="7" max="7" width="6.5703125" customWidth="1"/>
    <col min="8" max="8" width="5.5703125" customWidth="1"/>
    <col min="9" max="9" width="7.140625" customWidth="1"/>
    <col min="10" max="10" width="6.7109375" customWidth="1"/>
    <col min="11" max="11" width="6.85546875" customWidth="1"/>
    <col min="12" max="12" width="6.5703125" customWidth="1"/>
    <col min="13" max="13" width="7.5703125" customWidth="1"/>
    <col min="14" max="14" width="7.42578125" customWidth="1"/>
    <col min="15" max="15" width="6.7109375" customWidth="1"/>
    <col min="16" max="16" width="6.42578125" customWidth="1"/>
    <col min="17" max="17" width="7.140625" customWidth="1"/>
    <col min="18" max="18" width="7.42578125" customWidth="1"/>
    <col min="19" max="19" width="6.7109375" customWidth="1"/>
    <col min="20" max="20" width="5.28515625" customWidth="1"/>
    <col min="21" max="22" width="6.7109375" customWidth="1"/>
    <col min="23" max="24" width="7.28515625" customWidth="1"/>
    <col min="25" max="25" width="6.7109375" customWidth="1"/>
    <col min="26" max="26" width="8.28515625" customWidth="1"/>
    <col min="27" max="31" width="7.5703125" customWidth="1"/>
    <col min="32" max="32" width="10.28515625" customWidth="1"/>
    <col min="36" max="36" width="8.85546875" customWidth="1"/>
  </cols>
  <sheetData>
    <row r="2" spans="3:40" ht="15.75">
      <c r="AG2" s="735" t="s">
        <v>31</v>
      </c>
      <c r="AH2" s="735"/>
      <c r="AI2" s="735"/>
      <c r="AJ2" s="735"/>
      <c r="AK2" s="735"/>
      <c r="AL2" s="735"/>
      <c r="AM2" s="735"/>
      <c r="AN2" s="735"/>
    </row>
    <row r="3" spans="3:40" ht="15.75" thickBot="1">
      <c r="AG3" s="736" t="s">
        <v>32</v>
      </c>
      <c r="AH3" s="736"/>
      <c r="AI3" s="736"/>
      <c r="AJ3" s="736"/>
      <c r="AK3" s="736"/>
      <c r="AL3" s="736"/>
      <c r="AM3" s="736"/>
      <c r="AN3" s="736"/>
    </row>
    <row r="4" spans="3:40" ht="16.5" thickBot="1">
      <c r="C4" s="733" t="s">
        <v>279</v>
      </c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305"/>
      <c r="AG4" s="279" t="s">
        <v>0</v>
      </c>
      <c r="AH4" s="737" t="s">
        <v>33</v>
      </c>
      <c r="AI4" s="739" t="s">
        <v>34</v>
      </c>
      <c r="AJ4" s="279" t="s">
        <v>35</v>
      </c>
      <c r="AK4" s="739" t="s">
        <v>2</v>
      </c>
      <c r="AL4" s="737" t="s">
        <v>3</v>
      </c>
      <c r="AM4" s="739" t="s">
        <v>4</v>
      </c>
      <c r="AN4" s="739" t="s">
        <v>5</v>
      </c>
    </row>
    <row r="5" spans="3:40" ht="53.45" customHeight="1" thickBot="1">
      <c r="C5" s="160" t="s">
        <v>0</v>
      </c>
      <c r="D5" s="730" t="s">
        <v>282</v>
      </c>
      <c r="E5" s="731"/>
      <c r="F5" s="732"/>
      <c r="G5" s="730" t="s">
        <v>18</v>
      </c>
      <c r="H5" s="731"/>
      <c r="I5" s="732"/>
      <c r="J5" s="730" t="s">
        <v>19</v>
      </c>
      <c r="K5" s="731"/>
      <c r="L5" s="732"/>
      <c r="M5" s="730" t="s">
        <v>1</v>
      </c>
      <c r="N5" s="731"/>
      <c r="O5" s="732"/>
      <c r="P5" s="730" t="s">
        <v>20</v>
      </c>
      <c r="Q5" s="731"/>
      <c r="R5" s="732"/>
      <c r="S5" s="730" t="s">
        <v>21</v>
      </c>
      <c r="T5" s="731"/>
      <c r="U5" s="732"/>
      <c r="V5" s="730" t="s">
        <v>4</v>
      </c>
      <c r="W5" s="731"/>
      <c r="X5" s="732"/>
      <c r="Y5" s="730" t="s">
        <v>5</v>
      </c>
      <c r="Z5" s="731"/>
      <c r="AA5" s="732"/>
      <c r="AB5" s="16"/>
      <c r="AC5" s="16"/>
      <c r="AD5" s="16"/>
      <c r="AE5" s="16"/>
      <c r="AG5" s="279"/>
      <c r="AH5" s="738"/>
      <c r="AI5" s="740"/>
      <c r="AJ5" s="279" t="s">
        <v>36</v>
      </c>
      <c r="AK5" s="740"/>
      <c r="AL5" s="738"/>
      <c r="AM5" s="740"/>
      <c r="AN5" s="740"/>
    </row>
    <row r="6" spans="3:40" ht="39" thickBot="1">
      <c r="C6" s="293"/>
      <c r="D6" s="296" t="s">
        <v>40</v>
      </c>
      <c r="E6" s="296" t="s">
        <v>277</v>
      </c>
      <c r="F6" s="296" t="s">
        <v>278</v>
      </c>
      <c r="G6" s="296" t="s">
        <v>40</v>
      </c>
      <c r="H6" s="296" t="s">
        <v>277</v>
      </c>
      <c r="I6" s="296" t="s">
        <v>5</v>
      </c>
      <c r="J6" s="296" t="s">
        <v>40</v>
      </c>
      <c r="K6" s="296" t="s">
        <v>277</v>
      </c>
      <c r="L6" s="296" t="s">
        <v>5</v>
      </c>
      <c r="M6" s="296" t="s">
        <v>40</v>
      </c>
      <c r="N6" s="296" t="s">
        <v>277</v>
      </c>
      <c r="O6" s="296" t="s">
        <v>5</v>
      </c>
      <c r="P6" s="296" t="s">
        <v>40</v>
      </c>
      <c r="Q6" s="296" t="s">
        <v>277</v>
      </c>
      <c r="R6" s="296" t="s">
        <v>5</v>
      </c>
      <c r="S6" s="296" t="s">
        <v>40</v>
      </c>
      <c r="T6" s="296" t="s">
        <v>277</v>
      </c>
      <c r="U6" s="296" t="s">
        <v>5</v>
      </c>
      <c r="V6" s="296" t="s">
        <v>40</v>
      </c>
      <c r="W6" s="296" t="s">
        <v>277</v>
      </c>
      <c r="X6" s="296" t="s">
        <v>5</v>
      </c>
      <c r="Y6" s="296" t="s">
        <v>40</v>
      </c>
      <c r="Z6" s="296" t="s">
        <v>277</v>
      </c>
      <c r="AA6" s="296" t="s">
        <v>5</v>
      </c>
      <c r="AB6" s="16"/>
      <c r="AC6" s="16"/>
      <c r="AD6" s="16"/>
      <c r="AE6" s="16"/>
      <c r="AG6" s="279"/>
      <c r="AH6" s="294"/>
      <c r="AI6" s="295"/>
      <c r="AJ6" s="279"/>
      <c r="AK6" s="295"/>
      <c r="AL6" s="294"/>
      <c r="AM6" s="295"/>
      <c r="AN6" s="295"/>
    </row>
    <row r="7" spans="3:40" ht="15.75" thickBot="1">
      <c r="C7" s="741" t="s">
        <v>6</v>
      </c>
      <c r="D7" s="299">
        <v>122.16</v>
      </c>
      <c r="E7" s="298">
        <v>60.1</v>
      </c>
      <c r="F7" s="298">
        <f>+D7+E7</f>
        <v>182.26</v>
      </c>
      <c r="G7" s="298">
        <v>2.86</v>
      </c>
      <c r="H7" s="298"/>
      <c r="I7" s="298">
        <f>+G7+H7</f>
        <v>2.86</v>
      </c>
      <c r="J7" s="298">
        <v>8.94</v>
      </c>
      <c r="K7" s="298">
        <v>3.29</v>
      </c>
      <c r="L7" s="298">
        <f>+J7+K7</f>
        <v>12.23</v>
      </c>
      <c r="M7" s="298">
        <v>58.85</v>
      </c>
      <c r="N7" s="298">
        <v>17.34</v>
      </c>
      <c r="O7" s="298">
        <f>+M7+N7</f>
        <v>76.19</v>
      </c>
      <c r="P7" s="298">
        <v>54.9</v>
      </c>
      <c r="Q7" s="298">
        <v>9.85</v>
      </c>
      <c r="R7" s="298">
        <f>+P7+Q7</f>
        <v>64.75</v>
      </c>
      <c r="S7" s="298">
        <v>6.84</v>
      </c>
      <c r="T7" s="298"/>
      <c r="U7" s="298">
        <f>+S7+T7</f>
        <v>6.84</v>
      </c>
      <c r="V7" s="299">
        <v>90.25</v>
      </c>
      <c r="W7" s="298">
        <f>+AM7</f>
        <v>14.88</v>
      </c>
      <c r="X7" s="298">
        <f>+V7+W7</f>
        <v>105.13</v>
      </c>
      <c r="Y7" s="299"/>
      <c r="Z7" s="289">
        <v>118.86</v>
      </c>
      <c r="AA7" s="298">
        <f>+Y7+Z7</f>
        <v>118.86</v>
      </c>
      <c r="AB7" s="340"/>
      <c r="AC7" s="340">
        <f>+D7+G7+J7+M7+P7+S7+V7</f>
        <v>344.8</v>
      </c>
      <c r="AD7" s="340">
        <f>+E7+H7+K7+N7+Q7+T7+W7</f>
        <v>105.46</v>
      </c>
      <c r="AE7" s="340">
        <f>+F7+I7+L7+O7+R7+U7+X7</f>
        <v>450.25999999999993</v>
      </c>
      <c r="AG7" s="289" t="s">
        <v>6</v>
      </c>
      <c r="AH7" s="289">
        <v>60.1</v>
      </c>
      <c r="AI7" s="289">
        <v>17.34</v>
      </c>
      <c r="AJ7" s="289">
        <v>13.4</v>
      </c>
      <c r="AK7" s="289">
        <v>9.85</v>
      </c>
      <c r="AL7" s="289">
        <v>3.29</v>
      </c>
      <c r="AM7" s="289">
        <v>14.88</v>
      </c>
      <c r="AN7" s="289">
        <v>118.86</v>
      </c>
    </row>
    <row r="8" spans="3:40" ht="15.75" thickBot="1">
      <c r="C8" s="742"/>
      <c r="D8" s="306"/>
      <c r="E8" s="297">
        <v>-50.56</v>
      </c>
      <c r="F8" s="298">
        <f t="shared" ref="F8:F29" si="0">+D8+E8</f>
        <v>-50.56</v>
      </c>
      <c r="G8" s="297"/>
      <c r="H8" s="297"/>
      <c r="I8" s="298">
        <f t="shared" ref="I8:I29" si="1">+G8+H8</f>
        <v>0</v>
      </c>
      <c r="J8" s="297"/>
      <c r="K8" s="297">
        <v>-2.77</v>
      </c>
      <c r="L8" s="298">
        <f t="shared" ref="L8:L29" si="2">+J8+K8</f>
        <v>-2.77</v>
      </c>
      <c r="M8" s="297"/>
      <c r="N8" s="297">
        <v>-14.59</v>
      </c>
      <c r="O8" s="298">
        <f t="shared" ref="O8:O29" si="3">+M8+N8</f>
        <v>-14.59</v>
      </c>
      <c r="P8" s="297"/>
      <c r="Q8" s="297">
        <v>-8.2899999999999991</v>
      </c>
      <c r="R8" s="298">
        <f t="shared" ref="R8:R29" si="4">+P8+Q8</f>
        <v>-8.2899999999999991</v>
      </c>
      <c r="S8" s="297"/>
      <c r="T8" s="297"/>
      <c r="U8" s="297">
        <f t="shared" ref="U8:U29" si="5">+S8+T8</f>
        <v>0</v>
      </c>
      <c r="V8" s="306"/>
      <c r="W8" s="297">
        <f t="shared" ref="W8:W29" si="6">+AN8</f>
        <v>-100</v>
      </c>
      <c r="X8" s="297">
        <f t="shared" ref="X8:X29" si="7">+V8+W8</f>
        <v>-100</v>
      </c>
      <c r="Y8" s="306"/>
      <c r="Z8" s="289">
        <v>-100</v>
      </c>
      <c r="AA8" s="297">
        <f t="shared" ref="AA8:AA29" si="8">+Y8+Z8</f>
        <v>-100</v>
      </c>
      <c r="AB8" s="340"/>
      <c r="AC8" s="340">
        <f t="shared" ref="AC8:AC31" si="9">+D8+G8+J8+M8+P8+S8+V8</f>
        <v>0</v>
      </c>
      <c r="AD8" s="340">
        <f t="shared" ref="AD8:AD31" si="10">+E8+H8+K8+N8+Q8+T8+W8</f>
        <v>-176.21</v>
      </c>
      <c r="AE8" s="340">
        <f t="shared" ref="AE8:AE31" si="11">+F8+I8+L8+O8+R8+U8+X8</f>
        <v>-176.21</v>
      </c>
      <c r="AG8" s="289"/>
      <c r="AH8" s="289">
        <v>-50.56</v>
      </c>
      <c r="AI8" s="289">
        <v>-14.59</v>
      </c>
      <c r="AJ8" s="289">
        <v>-11.27</v>
      </c>
      <c r="AK8" s="289">
        <v>-8.2899999999999991</v>
      </c>
      <c r="AL8" s="289">
        <v>-2.77</v>
      </c>
      <c r="AM8" s="289">
        <v>-12.52</v>
      </c>
      <c r="AN8" s="289">
        <v>-100</v>
      </c>
    </row>
    <row r="9" spans="3:40">
      <c r="C9" s="743" t="s">
        <v>7</v>
      </c>
      <c r="D9" s="284">
        <v>126.44</v>
      </c>
      <c r="E9" s="298">
        <v>67.77</v>
      </c>
      <c r="F9" s="298">
        <f t="shared" si="0"/>
        <v>194.20999999999998</v>
      </c>
      <c r="G9" s="298">
        <v>3.85</v>
      </c>
      <c r="H9" s="298"/>
      <c r="I9" s="298">
        <f t="shared" si="1"/>
        <v>3.85</v>
      </c>
      <c r="J9" s="298">
        <v>10.67</v>
      </c>
      <c r="K9" s="298">
        <v>3.91</v>
      </c>
      <c r="L9" s="298">
        <f t="shared" si="2"/>
        <v>14.58</v>
      </c>
      <c r="M9" s="298">
        <v>76.2</v>
      </c>
      <c r="N9" s="298">
        <v>21.4</v>
      </c>
      <c r="O9" s="298">
        <f t="shared" si="3"/>
        <v>97.6</v>
      </c>
      <c r="P9" s="298">
        <v>60.65</v>
      </c>
      <c r="Q9" s="298">
        <v>13.52</v>
      </c>
      <c r="R9" s="298">
        <f t="shared" si="4"/>
        <v>74.17</v>
      </c>
      <c r="S9" s="298">
        <v>3.84</v>
      </c>
      <c r="T9" s="298"/>
      <c r="U9" s="298">
        <f t="shared" si="5"/>
        <v>3.84</v>
      </c>
      <c r="V9" s="299">
        <v>102.11</v>
      </c>
      <c r="W9" s="298">
        <f t="shared" si="6"/>
        <v>136.96</v>
      </c>
      <c r="X9" s="298">
        <f t="shared" si="7"/>
        <v>239.07</v>
      </c>
      <c r="Y9" s="299">
        <v>383.76</v>
      </c>
      <c r="Z9" s="289">
        <v>136.96</v>
      </c>
      <c r="AA9" s="298">
        <f t="shared" si="8"/>
        <v>520.72</v>
      </c>
      <c r="AB9" s="340"/>
      <c r="AC9" s="340">
        <f t="shared" si="9"/>
        <v>383.75999999999993</v>
      </c>
      <c r="AD9" s="340">
        <f t="shared" si="10"/>
        <v>243.56</v>
      </c>
      <c r="AE9" s="340">
        <f t="shared" si="11"/>
        <v>627.31999999999994</v>
      </c>
      <c r="AG9" s="289" t="s">
        <v>7</v>
      </c>
      <c r="AH9" s="289">
        <v>67.77</v>
      </c>
      <c r="AI9" s="289">
        <v>21.4</v>
      </c>
      <c r="AJ9" s="289">
        <v>14.13</v>
      </c>
      <c r="AK9" s="289">
        <v>13.52</v>
      </c>
      <c r="AL9" s="289">
        <v>3.91</v>
      </c>
      <c r="AM9" s="289">
        <v>16.23</v>
      </c>
      <c r="AN9" s="289">
        <v>136.96</v>
      </c>
    </row>
    <row r="10" spans="3:40" ht="15.75" thickBot="1">
      <c r="C10" s="742"/>
      <c r="D10" s="307">
        <f>+(D9-D7)/D7*100</f>
        <v>3.5036018336607735</v>
      </c>
      <c r="E10" s="307">
        <f t="shared" ref="E10:AA10" si="12">+(E9-E7)/E7*100</f>
        <v>12.762063227953401</v>
      </c>
      <c r="F10" s="307">
        <f t="shared" si="12"/>
        <v>6.5565675408756654</v>
      </c>
      <c r="G10" s="307">
        <f t="shared" si="12"/>
        <v>34.615384615384627</v>
      </c>
      <c r="H10" s="307"/>
      <c r="I10" s="307">
        <f t="shared" si="12"/>
        <v>34.615384615384627</v>
      </c>
      <c r="J10" s="307">
        <f t="shared" si="12"/>
        <v>19.351230425055935</v>
      </c>
      <c r="K10" s="307">
        <f t="shared" si="12"/>
        <v>18.844984802431615</v>
      </c>
      <c r="L10" s="307">
        <f t="shared" si="12"/>
        <v>19.215044971381843</v>
      </c>
      <c r="M10" s="307">
        <f t="shared" si="12"/>
        <v>29.481733220050977</v>
      </c>
      <c r="N10" s="307">
        <f t="shared" si="12"/>
        <v>23.414071510957317</v>
      </c>
      <c r="O10" s="307">
        <f t="shared" si="12"/>
        <v>28.100800630003935</v>
      </c>
      <c r="P10" s="307">
        <f t="shared" si="12"/>
        <v>10.473588342440801</v>
      </c>
      <c r="Q10" s="307">
        <f t="shared" si="12"/>
        <v>37.258883248730967</v>
      </c>
      <c r="R10" s="307">
        <f t="shared" si="12"/>
        <v>14.548262548262549</v>
      </c>
      <c r="S10" s="307">
        <f t="shared" si="12"/>
        <v>-43.859649122807021</v>
      </c>
      <c r="T10" s="307"/>
      <c r="U10" s="307">
        <f t="shared" si="12"/>
        <v>-43.859649122807021</v>
      </c>
      <c r="V10" s="307">
        <f t="shared" si="12"/>
        <v>13.141274238227146</v>
      </c>
      <c r="W10" s="307">
        <f t="shared" si="12"/>
        <v>820.43010752688178</v>
      </c>
      <c r="X10" s="307">
        <f t="shared" si="12"/>
        <v>127.40416627033197</v>
      </c>
      <c r="Y10" s="307" t="e">
        <f t="shared" si="12"/>
        <v>#DIV/0!</v>
      </c>
      <c r="Z10" s="289">
        <v>-100</v>
      </c>
      <c r="AA10" s="307">
        <f t="shared" si="12"/>
        <v>338.09523809523807</v>
      </c>
      <c r="AB10" s="340"/>
      <c r="AC10" s="340">
        <f t="shared" si="9"/>
        <v>66.707163552013256</v>
      </c>
      <c r="AD10" s="340">
        <f t="shared" si="10"/>
        <v>912.71011031695502</v>
      </c>
      <c r="AE10" s="340">
        <f t="shared" si="11"/>
        <v>186.58057745343356</v>
      </c>
      <c r="AG10" s="289"/>
      <c r="AH10" s="289">
        <v>-49.48</v>
      </c>
      <c r="AI10" s="289">
        <v>-15.63</v>
      </c>
      <c r="AJ10" s="289">
        <v>-10.32</v>
      </c>
      <c r="AK10" s="289">
        <v>-9.8699999999999992</v>
      </c>
      <c r="AL10" s="289">
        <v>-2.85</v>
      </c>
      <c r="AM10" s="289">
        <v>-11.85</v>
      </c>
      <c r="AN10" s="289">
        <v>-100</v>
      </c>
    </row>
    <row r="11" spans="3:40">
      <c r="C11" s="743" t="s">
        <v>8</v>
      </c>
      <c r="D11" s="299">
        <v>142.09</v>
      </c>
      <c r="E11" s="298">
        <v>69.72</v>
      </c>
      <c r="F11" s="298">
        <f t="shared" si="0"/>
        <v>211.81</v>
      </c>
      <c r="G11" s="298">
        <v>6.62</v>
      </c>
      <c r="H11" s="298"/>
      <c r="I11" s="298">
        <f t="shared" si="1"/>
        <v>6.62</v>
      </c>
      <c r="J11" s="298">
        <v>10.68</v>
      </c>
      <c r="K11" s="298">
        <v>5.61</v>
      </c>
      <c r="L11" s="298">
        <f t="shared" si="2"/>
        <v>16.29</v>
      </c>
      <c r="M11" s="298">
        <v>79.22</v>
      </c>
      <c r="N11" s="298">
        <v>28.84</v>
      </c>
      <c r="O11" s="298">
        <f t="shared" si="3"/>
        <v>108.06</v>
      </c>
      <c r="P11" s="298">
        <v>68.83</v>
      </c>
      <c r="Q11" s="298">
        <v>13.57</v>
      </c>
      <c r="R11" s="298">
        <f t="shared" si="4"/>
        <v>82.4</v>
      </c>
      <c r="S11" s="298">
        <v>2.13</v>
      </c>
      <c r="T11" s="298"/>
      <c r="U11" s="298">
        <f t="shared" si="5"/>
        <v>2.13</v>
      </c>
      <c r="V11" s="299">
        <v>114</v>
      </c>
      <c r="W11" s="298">
        <f t="shared" si="6"/>
        <v>150.12</v>
      </c>
      <c r="X11" s="298">
        <f t="shared" si="7"/>
        <v>264.12</v>
      </c>
      <c r="Y11" s="299">
        <v>423.57</v>
      </c>
      <c r="Z11" s="289">
        <v>150.12</v>
      </c>
      <c r="AA11" s="298">
        <f t="shared" si="8"/>
        <v>573.69000000000005</v>
      </c>
      <c r="AB11" s="340"/>
      <c r="AC11" s="340">
        <f t="shared" si="9"/>
        <v>423.57</v>
      </c>
      <c r="AD11" s="340">
        <f t="shared" si="10"/>
        <v>267.86</v>
      </c>
      <c r="AE11" s="340">
        <f t="shared" si="11"/>
        <v>691.43</v>
      </c>
      <c r="AG11" s="289" t="s">
        <v>8</v>
      </c>
      <c r="AH11" s="289">
        <v>69.72</v>
      </c>
      <c r="AI11" s="289">
        <v>28.84</v>
      </c>
      <c r="AJ11" s="289">
        <v>13.39</v>
      </c>
      <c r="AK11" s="289">
        <v>13.57</v>
      </c>
      <c r="AL11" s="289">
        <v>5.61</v>
      </c>
      <c r="AM11" s="289">
        <v>18.989999999999998</v>
      </c>
      <c r="AN11" s="289">
        <v>150.12</v>
      </c>
    </row>
    <row r="12" spans="3:40" ht="15.75" thickBot="1">
      <c r="C12" s="742"/>
      <c r="D12" s="300">
        <f>+(D11-D9)/D9*100</f>
        <v>12.377412211325534</v>
      </c>
      <c r="E12" s="300">
        <f t="shared" ref="E12:AA12" si="13">+(E11-E9)/E9*100</f>
        <v>2.87737937140328</v>
      </c>
      <c r="F12" s="300">
        <f t="shared" si="13"/>
        <v>9.0623551825343824</v>
      </c>
      <c r="G12" s="300">
        <f t="shared" si="13"/>
        <v>71.948051948051955</v>
      </c>
      <c r="H12" s="300"/>
      <c r="I12" s="300">
        <f t="shared" si="13"/>
        <v>71.948051948051955</v>
      </c>
      <c r="J12" s="300">
        <f t="shared" si="13"/>
        <v>9.3720712277411314E-2</v>
      </c>
      <c r="K12" s="300">
        <f t="shared" si="13"/>
        <v>43.478260869565219</v>
      </c>
      <c r="L12" s="300">
        <f t="shared" si="13"/>
        <v>11.728395061728389</v>
      </c>
      <c r="M12" s="300">
        <f t="shared" si="13"/>
        <v>3.9632545931758476</v>
      </c>
      <c r="N12" s="300">
        <f t="shared" si="13"/>
        <v>34.766355140186924</v>
      </c>
      <c r="O12" s="300">
        <f t="shared" si="13"/>
        <v>10.717213114754106</v>
      </c>
      <c r="P12" s="300">
        <f t="shared" si="13"/>
        <v>13.487221764220939</v>
      </c>
      <c r="Q12" s="300">
        <f t="shared" si="13"/>
        <v>0.36982248520710587</v>
      </c>
      <c r="R12" s="300">
        <f t="shared" si="13"/>
        <v>11.096130510988274</v>
      </c>
      <c r="S12" s="300">
        <f t="shared" si="13"/>
        <v>-44.53125</v>
      </c>
      <c r="T12" s="300"/>
      <c r="U12" s="300">
        <f t="shared" si="13"/>
        <v>-44.53125</v>
      </c>
      <c r="V12" s="300">
        <f t="shared" si="13"/>
        <v>11.644305161100773</v>
      </c>
      <c r="W12" s="300">
        <f t="shared" si="13"/>
        <v>9.6086448598130811</v>
      </c>
      <c r="X12" s="300">
        <f t="shared" si="13"/>
        <v>10.478102647760075</v>
      </c>
      <c r="Y12" s="300">
        <f t="shared" si="13"/>
        <v>10.373671044402752</v>
      </c>
      <c r="Z12" s="289">
        <v>-100</v>
      </c>
      <c r="AA12" s="300">
        <f t="shared" si="13"/>
        <v>10.172453525887237</v>
      </c>
      <c r="AB12" s="340"/>
      <c r="AC12" s="340">
        <f t="shared" si="9"/>
        <v>68.982716390152461</v>
      </c>
      <c r="AD12" s="340">
        <f t="shared" si="10"/>
        <v>91.100462726175607</v>
      </c>
      <c r="AE12" s="340">
        <f t="shared" si="11"/>
        <v>80.498998465817181</v>
      </c>
      <c r="AG12" s="289"/>
      <c r="AH12" s="289">
        <v>-46.44</v>
      </c>
      <c r="AI12" s="289">
        <v>-19.21</v>
      </c>
      <c r="AJ12" s="289">
        <v>-8.92</v>
      </c>
      <c r="AK12" s="289">
        <v>-9.0399999999999991</v>
      </c>
      <c r="AL12" s="289">
        <v>-3.74</v>
      </c>
      <c r="AM12" s="289">
        <v>-12.65</v>
      </c>
      <c r="AN12" s="289">
        <v>-100</v>
      </c>
    </row>
    <row r="13" spans="3:40">
      <c r="C13" s="743" t="s">
        <v>9</v>
      </c>
      <c r="D13" s="299">
        <v>145.88</v>
      </c>
      <c r="E13" s="298">
        <v>81.2</v>
      </c>
      <c r="F13" s="298">
        <f t="shared" si="0"/>
        <v>227.07999999999998</v>
      </c>
      <c r="G13" s="298">
        <v>7.93</v>
      </c>
      <c r="H13" s="298"/>
      <c r="I13" s="298">
        <f t="shared" si="1"/>
        <v>7.93</v>
      </c>
      <c r="J13" s="298">
        <v>11.14</v>
      </c>
      <c r="K13" s="298">
        <v>6.82</v>
      </c>
      <c r="L13" s="298">
        <f t="shared" si="2"/>
        <v>17.96</v>
      </c>
      <c r="M13" s="298">
        <v>80.58</v>
      </c>
      <c r="N13" s="298">
        <v>33.97</v>
      </c>
      <c r="O13" s="298">
        <f t="shared" si="3"/>
        <v>114.55</v>
      </c>
      <c r="P13" s="298">
        <v>64.63</v>
      </c>
      <c r="Q13" s="298">
        <v>14.02</v>
      </c>
      <c r="R13" s="298">
        <f t="shared" si="4"/>
        <v>78.649999999999991</v>
      </c>
      <c r="S13" s="298">
        <v>4.93</v>
      </c>
      <c r="T13" s="298"/>
      <c r="U13" s="298">
        <f t="shared" si="5"/>
        <v>4.93</v>
      </c>
      <c r="V13" s="299">
        <v>148.69</v>
      </c>
      <c r="W13" s="298">
        <f t="shared" si="6"/>
        <v>184.92</v>
      </c>
      <c r="X13" s="298">
        <f t="shared" si="7"/>
        <v>333.61</v>
      </c>
      <c r="Y13" s="299">
        <v>463.78</v>
      </c>
      <c r="Z13" s="289">
        <v>184.92</v>
      </c>
      <c r="AA13" s="298">
        <f t="shared" si="8"/>
        <v>648.69999999999993</v>
      </c>
      <c r="AB13" s="340"/>
      <c r="AC13" s="340">
        <f t="shared" si="9"/>
        <v>463.78</v>
      </c>
      <c r="AD13" s="340">
        <f t="shared" si="10"/>
        <v>320.93</v>
      </c>
      <c r="AE13" s="340">
        <f t="shared" si="11"/>
        <v>784.71</v>
      </c>
      <c r="AG13" s="289" t="s">
        <v>9</v>
      </c>
      <c r="AH13" s="289">
        <v>81.2</v>
      </c>
      <c r="AI13" s="289">
        <v>33.97</v>
      </c>
      <c r="AJ13" s="289">
        <v>14.39</v>
      </c>
      <c r="AK13" s="289">
        <v>14.02</v>
      </c>
      <c r="AL13" s="289">
        <v>6.82</v>
      </c>
      <c r="AM13" s="289">
        <v>34.520000000000003</v>
      </c>
      <c r="AN13" s="289">
        <v>184.92</v>
      </c>
    </row>
    <row r="14" spans="3:40" ht="15.75" thickBot="1">
      <c r="C14" s="742"/>
      <c r="D14" s="300">
        <f>+(D13-D11)/D11*100</f>
        <v>2.6673235273418197</v>
      </c>
      <c r="E14" s="300">
        <f t="shared" ref="E14:AA14" si="14">+(E13-E11)/E11*100</f>
        <v>16.465863453815267</v>
      </c>
      <c r="F14" s="300">
        <f t="shared" si="14"/>
        <v>7.2092913460176486</v>
      </c>
      <c r="G14" s="300">
        <f t="shared" si="14"/>
        <v>19.78851963746223</v>
      </c>
      <c r="H14" s="300"/>
      <c r="I14" s="300">
        <f t="shared" si="14"/>
        <v>19.78851963746223</v>
      </c>
      <c r="J14" s="300">
        <f t="shared" si="14"/>
        <v>4.3071161048689222</v>
      </c>
      <c r="K14" s="300">
        <f t="shared" si="14"/>
        <v>21.56862745098039</v>
      </c>
      <c r="L14" s="300">
        <f t="shared" si="14"/>
        <v>10.25168815224065</v>
      </c>
      <c r="M14" s="300">
        <f t="shared" si="14"/>
        <v>1.7167381974248921</v>
      </c>
      <c r="N14" s="300">
        <f t="shared" si="14"/>
        <v>17.787794729542298</v>
      </c>
      <c r="O14" s="300">
        <f t="shared" si="14"/>
        <v>6.0059226355728255</v>
      </c>
      <c r="P14" s="300">
        <f t="shared" si="14"/>
        <v>-6.1019904111579297</v>
      </c>
      <c r="Q14" s="300">
        <f t="shared" si="14"/>
        <v>3.3161385408990363</v>
      </c>
      <c r="R14" s="300">
        <f t="shared" si="14"/>
        <v>-4.5509708737864241</v>
      </c>
      <c r="S14" s="300">
        <f t="shared" si="14"/>
        <v>131.45539906103286</v>
      </c>
      <c r="T14" s="300"/>
      <c r="U14" s="300">
        <f t="shared" si="14"/>
        <v>131.45539906103286</v>
      </c>
      <c r="V14" s="300">
        <f t="shared" si="14"/>
        <v>30.429824561403507</v>
      </c>
      <c r="W14" s="300">
        <f t="shared" si="14"/>
        <v>23.181454836131081</v>
      </c>
      <c r="X14" s="300">
        <f t="shared" si="14"/>
        <v>26.310010601241864</v>
      </c>
      <c r="Y14" s="300">
        <f t="shared" si="14"/>
        <v>9.4931180206341299</v>
      </c>
      <c r="Z14" s="289">
        <v>-100</v>
      </c>
      <c r="AA14" s="300">
        <f t="shared" si="14"/>
        <v>13.075005665080422</v>
      </c>
      <c r="AB14" s="340"/>
      <c r="AC14" s="340">
        <f t="shared" si="9"/>
        <v>184.26293067837631</v>
      </c>
      <c r="AD14" s="340">
        <f t="shared" si="10"/>
        <v>82.319879011368073</v>
      </c>
      <c r="AE14" s="340">
        <f t="shared" si="11"/>
        <v>196.46986055978164</v>
      </c>
      <c r="AG14" s="289"/>
      <c r="AH14" s="289">
        <v>-43.91</v>
      </c>
      <c r="AI14" s="289">
        <v>-18.37</v>
      </c>
      <c r="AJ14" s="289">
        <v>-7.78</v>
      </c>
      <c r="AK14" s="289">
        <v>-7.58</v>
      </c>
      <c r="AL14" s="289">
        <v>-3.69</v>
      </c>
      <c r="AM14" s="289">
        <v>-18.670000000000002</v>
      </c>
      <c r="AN14" s="289">
        <v>-100</v>
      </c>
    </row>
    <row r="15" spans="3:40">
      <c r="C15" s="743" t="s">
        <v>10</v>
      </c>
      <c r="D15" s="299">
        <v>167.44</v>
      </c>
      <c r="E15" s="298">
        <v>91.04</v>
      </c>
      <c r="F15" s="298">
        <f t="shared" si="0"/>
        <v>258.48</v>
      </c>
      <c r="G15" s="298">
        <v>11.87</v>
      </c>
      <c r="H15" s="298"/>
      <c r="I15" s="298">
        <f t="shared" si="1"/>
        <v>11.87</v>
      </c>
      <c r="J15" s="298">
        <v>6.41</v>
      </c>
      <c r="K15" s="298">
        <v>7.11</v>
      </c>
      <c r="L15" s="298">
        <f t="shared" si="2"/>
        <v>13.52</v>
      </c>
      <c r="M15" s="298">
        <v>92.3</v>
      </c>
      <c r="N15" s="298">
        <v>34.22</v>
      </c>
      <c r="O15" s="298">
        <f t="shared" si="3"/>
        <v>126.52</v>
      </c>
      <c r="P15" s="298">
        <v>68.67</v>
      </c>
      <c r="Q15" s="298">
        <v>15.45</v>
      </c>
      <c r="R15" s="298">
        <f t="shared" si="4"/>
        <v>84.12</v>
      </c>
      <c r="S15" s="298">
        <v>2.99</v>
      </c>
      <c r="T15" s="298"/>
      <c r="U15" s="298">
        <f t="shared" si="5"/>
        <v>2.99</v>
      </c>
      <c r="V15" s="299">
        <v>169.65</v>
      </c>
      <c r="W15" s="298">
        <f t="shared" si="6"/>
        <v>206.38</v>
      </c>
      <c r="X15" s="298">
        <f t="shared" si="7"/>
        <v>376.03</v>
      </c>
      <c r="Y15" s="299">
        <v>519.30999999999995</v>
      </c>
      <c r="Z15" s="289">
        <v>206.38</v>
      </c>
      <c r="AA15" s="298">
        <f t="shared" si="8"/>
        <v>725.68999999999994</v>
      </c>
      <c r="AB15" s="340"/>
      <c r="AC15" s="340">
        <f t="shared" si="9"/>
        <v>519.33000000000004</v>
      </c>
      <c r="AD15" s="340">
        <f t="shared" si="10"/>
        <v>354.2</v>
      </c>
      <c r="AE15" s="340">
        <f t="shared" si="11"/>
        <v>873.53</v>
      </c>
      <c r="AG15" s="289" t="s">
        <v>10</v>
      </c>
      <c r="AH15" s="289">
        <v>91.04</v>
      </c>
      <c r="AI15" s="289">
        <v>34.22</v>
      </c>
      <c r="AJ15" s="289">
        <v>16.260000000000002</v>
      </c>
      <c r="AK15" s="289">
        <v>15.45</v>
      </c>
      <c r="AL15" s="289">
        <v>7.11</v>
      </c>
      <c r="AM15" s="289">
        <v>42.3</v>
      </c>
      <c r="AN15" s="289">
        <v>206.38</v>
      </c>
    </row>
    <row r="16" spans="3:40" ht="15.75" thickBot="1">
      <c r="C16" s="742"/>
      <c r="D16" s="300">
        <f>+(D15-D13)/D13*100</f>
        <v>14.779270633397315</v>
      </c>
      <c r="E16" s="300">
        <f t="shared" ref="E16:AA16" si="15">+(E15-E13)/E13*100</f>
        <v>12.118226600985226</v>
      </c>
      <c r="F16" s="300">
        <f t="shared" si="15"/>
        <v>13.82772591157303</v>
      </c>
      <c r="G16" s="300">
        <f t="shared" si="15"/>
        <v>49.684741488020173</v>
      </c>
      <c r="H16" s="300"/>
      <c r="I16" s="300">
        <f t="shared" si="15"/>
        <v>49.684741488020173</v>
      </c>
      <c r="J16" s="300">
        <f t="shared" si="15"/>
        <v>-42.459605026929985</v>
      </c>
      <c r="K16" s="300">
        <f t="shared" si="15"/>
        <v>4.2521994134897367</v>
      </c>
      <c r="L16" s="300">
        <f t="shared" si="15"/>
        <v>-24.721603563474392</v>
      </c>
      <c r="M16" s="300">
        <f t="shared" si="15"/>
        <v>14.544551998014393</v>
      </c>
      <c r="N16" s="300">
        <f t="shared" si="15"/>
        <v>0.73594347954077122</v>
      </c>
      <c r="O16" s="300">
        <f t="shared" si="15"/>
        <v>10.449585333915321</v>
      </c>
      <c r="P16" s="300">
        <f t="shared" si="15"/>
        <v>6.2509670431688171</v>
      </c>
      <c r="Q16" s="300">
        <f t="shared" si="15"/>
        <v>10.19971469329529</v>
      </c>
      <c r="R16" s="300">
        <f t="shared" si="15"/>
        <v>6.9548633184996991</v>
      </c>
      <c r="S16" s="300">
        <f t="shared" si="15"/>
        <v>-39.350912778904657</v>
      </c>
      <c r="T16" s="300"/>
      <c r="U16" s="300">
        <f t="shared" si="15"/>
        <v>-39.350912778904657</v>
      </c>
      <c r="V16" s="300">
        <f t="shared" si="15"/>
        <v>14.096442262425185</v>
      </c>
      <c r="W16" s="300">
        <f t="shared" si="15"/>
        <v>11.605018386329229</v>
      </c>
      <c r="X16" s="300">
        <f t="shared" si="15"/>
        <v>12.715446179670861</v>
      </c>
      <c r="Y16" s="300">
        <f t="shared" si="15"/>
        <v>11.973349432920777</v>
      </c>
      <c r="Z16" s="289">
        <v>-100</v>
      </c>
      <c r="AA16" s="300">
        <f t="shared" si="15"/>
        <v>11.868352088792973</v>
      </c>
      <c r="AB16" s="340"/>
      <c r="AC16" s="340">
        <f t="shared" si="9"/>
        <v>17.54545561919123</v>
      </c>
      <c r="AD16" s="340">
        <f t="shared" si="10"/>
        <v>38.91110257364025</v>
      </c>
      <c r="AE16" s="340">
        <f t="shared" si="11"/>
        <v>29.559845889300043</v>
      </c>
      <c r="AG16" s="289"/>
      <c r="AH16" s="289">
        <v>-44.11</v>
      </c>
      <c r="AI16" s="289">
        <v>-16.579999999999998</v>
      </c>
      <c r="AJ16" s="289">
        <v>-7.88</v>
      </c>
      <c r="AK16" s="289">
        <v>-7.49</v>
      </c>
      <c r="AL16" s="289">
        <v>-3.45</v>
      </c>
      <c r="AM16" s="289">
        <v>-20.5</v>
      </c>
      <c r="AN16" s="289">
        <v>-100</v>
      </c>
    </row>
    <row r="17" spans="3:40">
      <c r="C17" s="743" t="s">
        <v>11</v>
      </c>
      <c r="D17" s="299">
        <v>174.2</v>
      </c>
      <c r="E17" s="298">
        <v>97.82</v>
      </c>
      <c r="F17" s="298">
        <f t="shared" si="0"/>
        <v>272.02</v>
      </c>
      <c r="G17" s="298">
        <v>12.17</v>
      </c>
      <c r="H17" s="298"/>
      <c r="I17" s="298">
        <f t="shared" si="1"/>
        <v>12.17</v>
      </c>
      <c r="J17" s="298">
        <v>6.11</v>
      </c>
      <c r="K17" s="298">
        <v>8.85</v>
      </c>
      <c r="L17" s="298">
        <f t="shared" si="2"/>
        <v>14.96</v>
      </c>
      <c r="M17" s="298">
        <v>92.67</v>
      </c>
      <c r="N17" s="298">
        <v>35.86</v>
      </c>
      <c r="O17" s="298">
        <f t="shared" si="3"/>
        <v>128.53</v>
      </c>
      <c r="P17" s="298">
        <v>76.930000000000007</v>
      </c>
      <c r="Q17" s="298">
        <v>21.46</v>
      </c>
      <c r="R17" s="298">
        <f t="shared" si="4"/>
        <v>98.390000000000015</v>
      </c>
      <c r="S17" s="298">
        <v>2.4</v>
      </c>
      <c r="T17" s="298"/>
      <c r="U17" s="298">
        <f t="shared" si="5"/>
        <v>2.4</v>
      </c>
      <c r="V17" s="299">
        <v>166.33</v>
      </c>
      <c r="W17" s="298">
        <f t="shared" si="6"/>
        <v>213.22</v>
      </c>
      <c r="X17" s="298">
        <f t="shared" si="7"/>
        <v>379.55</v>
      </c>
      <c r="Y17" s="299">
        <v>530.79999999999995</v>
      </c>
      <c r="Z17" s="289">
        <v>213.22</v>
      </c>
      <c r="AA17" s="298">
        <f t="shared" si="8"/>
        <v>744.02</v>
      </c>
      <c r="AB17" s="340"/>
      <c r="AC17" s="340">
        <f t="shared" si="9"/>
        <v>530.80999999999995</v>
      </c>
      <c r="AD17" s="340">
        <f t="shared" si="10"/>
        <v>377.21</v>
      </c>
      <c r="AE17" s="340">
        <f t="shared" si="11"/>
        <v>908.02</v>
      </c>
      <c r="AG17" s="289" t="s">
        <v>11</v>
      </c>
      <c r="AH17" s="289">
        <v>97.82</v>
      </c>
      <c r="AI17" s="289">
        <v>35.86</v>
      </c>
      <c r="AJ17" s="289">
        <v>13.26</v>
      </c>
      <c r="AK17" s="289">
        <v>21.46</v>
      </c>
      <c r="AL17" s="289">
        <v>8.85</v>
      </c>
      <c r="AM17" s="289">
        <v>35.97</v>
      </c>
      <c r="AN17" s="289">
        <v>213.22</v>
      </c>
    </row>
    <row r="18" spans="3:40" ht="15.75" thickBot="1">
      <c r="C18" s="742"/>
      <c r="D18" s="300">
        <f>+(D17-D15)/D15*100</f>
        <v>4.0372670807453357</v>
      </c>
      <c r="E18" s="300">
        <f t="shared" ref="E18:AA18" si="16">+(E17-E15)/E15*100</f>
        <v>7.4472759226713388</v>
      </c>
      <c r="F18" s="300">
        <f t="shared" si="16"/>
        <v>5.2383163107396946</v>
      </c>
      <c r="G18" s="300">
        <f t="shared" si="16"/>
        <v>2.5273799494524072</v>
      </c>
      <c r="H18" s="300"/>
      <c r="I18" s="300">
        <f t="shared" si="16"/>
        <v>2.5273799494524072</v>
      </c>
      <c r="J18" s="300">
        <f t="shared" si="16"/>
        <v>-4.6801872074882969</v>
      </c>
      <c r="K18" s="300">
        <f t="shared" si="16"/>
        <v>24.472573839662438</v>
      </c>
      <c r="L18" s="300">
        <f t="shared" si="16"/>
        <v>10.650887573964507</v>
      </c>
      <c r="M18" s="300">
        <f t="shared" si="16"/>
        <v>0.40086673889491287</v>
      </c>
      <c r="N18" s="300">
        <f t="shared" si="16"/>
        <v>4.79251899473992</v>
      </c>
      <c r="O18" s="300">
        <f t="shared" si="16"/>
        <v>1.5886816313626344</v>
      </c>
      <c r="P18" s="300">
        <f t="shared" si="16"/>
        <v>12.028542303771669</v>
      </c>
      <c r="Q18" s="300">
        <f t="shared" si="16"/>
        <v>38.899676375404539</v>
      </c>
      <c r="R18" s="300">
        <f t="shared" si="16"/>
        <v>16.963861150737053</v>
      </c>
      <c r="S18" s="300">
        <f t="shared" si="16"/>
        <v>-19.732441471571917</v>
      </c>
      <c r="T18" s="300"/>
      <c r="U18" s="300">
        <f t="shared" si="16"/>
        <v>-19.732441471571917</v>
      </c>
      <c r="V18" s="300">
        <f t="shared" si="16"/>
        <v>-1.9569702328322978</v>
      </c>
      <c r="W18" s="300">
        <f t="shared" si="16"/>
        <v>3.3142746390154105</v>
      </c>
      <c r="X18" s="300">
        <f t="shared" si="16"/>
        <v>0.9360955242932848</v>
      </c>
      <c r="Y18" s="300">
        <f t="shared" si="16"/>
        <v>2.2125512699543646</v>
      </c>
      <c r="Z18" s="289">
        <v>-100</v>
      </c>
      <c r="AA18" s="300">
        <f t="shared" si="16"/>
        <v>2.5258719287850244</v>
      </c>
      <c r="AB18" s="340"/>
      <c r="AC18" s="340">
        <f t="shared" si="9"/>
        <v>-7.3755428390281867</v>
      </c>
      <c r="AD18" s="340">
        <f t="shared" si="10"/>
        <v>78.926319771493652</v>
      </c>
      <c r="AE18" s="340">
        <f t="shared" si="11"/>
        <v>18.172780668977666</v>
      </c>
      <c r="AG18" s="289"/>
      <c r="AH18" s="289">
        <v>-45.88</v>
      </c>
      <c r="AI18" s="289">
        <v>-16.82</v>
      </c>
      <c r="AJ18" s="289">
        <v>-6.22</v>
      </c>
      <c r="AK18" s="289">
        <v>-10.06</v>
      </c>
      <c r="AL18" s="289">
        <v>-4.1500000000000004</v>
      </c>
      <c r="AM18" s="289">
        <v>-16.87</v>
      </c>
      <c r="AN18" s="289">
        <v>-100</v>
      </c>
    </row>
    <row r="19" spans="3:40">
      <c r="C19" s="743" t="s">
        <v>12</v>
      </c>
      <c r="D19" s="299">
        <v>174.86</v>
      </c>
      <c r="E19" s="298">
        <v>137.72</v>
      </c>
      <c r="F19" s="298">
        <f t="shared" si="0"/>
        <v>312.58000000000004</v>
      </c>
      <c r="G19" s="298">
        <v>10.94</v>
      </c>
      <c r="H19" s="298"/>
      <c r="I19" s="298">
        <f t="shared" si="1"/>
        <v>10.94</v>
      </c>
      <c r="J19" s="298">
        <v>6.79</v>
      </c>
      <c r="K19" s="298">
        <v>9.5</v>
      </c>
      <c r="L19" s="298">
        <f t="shared" si="2"/>
        <v>16.29</v>
      </c>
      <c r="M19" s="298">
        <v>100.89</v>
      </c>
      <c r="N19" s="298">
        <v>48.81</v>
      </c>
      <c r="O19" s="298">
        <f t="shared" si="3"/>
        <v>149.69999999999999</v>
      </c>
      <c r="P19" s="298">
        <v>71.790000000000006</v>
      </c>
      <c r="Q19" s="298">
        <v>41.28</v>
      </c>
      <c r="R19" s="298">
        <f t="shared" si="4"/>
        <v>113.07000000000001</v>
      </c>
      <c r="S19" s="298">
        <v>1.2</v>
      </c>
      <c r="T19" s="298"/>
      <c r="U19" s="298">
        <f t="shared" si="5"/>
        <v>1.2</v>
      </c>
      <c r="V19" s="299">
        <v>194.62</v>
      </c>
      <c r="W19" s="298">
        <f t="shared" si="6"/>
        <v>288.94</v>
      </c>
      <c r="X19" s="298">
        <f t="shared" si="7"/>
        <v>483.56</v>
      </c>
      <c r="Y19" s="299">
        <v>561.09</v>
      </c>
      <c r="Z19" s="289">
        <v>288.94</v>
      </c>
      <c r="AA19" s="298">
        <f t="shared" si="8"/>
        <v>850.03</v>
      </c>
      <c r="AB19" s="340"/>
      <c r="AC19" s="340">
        <f t="shared" si="9"/>
        <v>561.09</v>
      </c>
      <c r="AD19" s="340">
        <f t="shared" si="10"/>
        <v>526.25</v>
      </c>
      <c r="AE19" s="340">
        <f t="shared" si="11"/>
        <v>1087.3400000000001</v>
      </c>
      <c r="AG19" s="289" t="s">
        <v>12</v>
      </c>
      <c r="AH19" s="289">
        <v>137.72</v>
      </c>
      <c r="AI19" s="289">
        <v>48.81</v>
      </c>
      <c r="AJ19" s="289">
        <v>13.14</v>
      </c>
      <c r="AK19" s="289">
        <v>41.28</v>
      </c>
      <c r="AL19" s="289">
        <v>9.5</v>
      </c>
      <c r="AM19" s="289">
        <v>38.49</v>
      </c>
      <c r="AN19" s="289">
        <v>288.94</v>
      </c>
    </row>
    <row r="20" spans="3:40" ht="15.75" thickBot="1">
      <c r="C20" s="742"/>
      <c r="D20" s="300">
        <f>+(D19-D17)/D17*100</f>
        <v>0.37887485648681118</v>
      </c>
      <c r="E20" s="300">
        <f t="shared" ref="E20:AA20" si="17">+(E19-E17)/E17*100</f>
        <v>40.789204661623394</v>
      </c>
      <c r="F20" s="300">
        <f t="shared" si="17"/>
        <v>14.910668333210817</v>
      </c>
      <c r="G20" s="300">
        <f t="shared" si="17"/>
        <v>-10.106820049301565</v>
      </c>
      <c r="H20" s="300"/>
      <c r="I20" s="300">
        <f t="shared" si="17"/>
        <v>-10.106820049301565</v>
      </c>
      <c r="J20" s="300">
        <f t="shared" si="17"/>
        <v>11.12929623567921</v>
      </c>
      <c r="K20" s="300">
        <f t="shared" si="17"/>
        <v>7.3446327683615866</v>
      </c>
      <c r="L20" s="300">
        <f t="shared" si="17"/>
        <v>8.8903743315507899</v>
      </c>
      <c r="M20" s="300">
        <f t="shared" si="17"/>
        <v>8.870184525736482</v>
      </c>
      <c r="N20" s="300">
        <f t="shared" si="17"/>
        <v>36.112660345789187</v>
      </c>
      <c r="O20" s="300">
        <f t="shared" si="17"/>
        <v>16.470862833579698</v>
      </c>
      <c r="P20" s="300">
        <f t="shared" si="17"/>
        <v>-6.681398674119329</v>
      </c>
      <c r="Q20" s="300">
        <f t="shared" si="17"/>
        <v>92.357875116495805</v>
      </c>
      <c r="R20" s="300">
        <f t="shared" si="17"/>
        <v>14.920215469051723</v>
      </c>
      <c r="S20" s="300">
        <f t="shared" si="17"/>
        <v>-50</v>
      </c>
      <c r="T20" s="300"/>
      <c r="U20" s="300">
        <f t="shared" si="17"/>
        <v>-50</v>
      </c>
      <c r="V20" s="300">
        <f t="shared" si="17"/>
        <v>17.008356880899413</v>
      </c>
      <c r="W20" s="300">
        <f t="shared" si="17"/>
        <v>35.512616077291057</v>
      </c>
      <c r="X20" s="300">
        <f t="shared" si="17"/>
        <v>27.4035041496509</v>
      </c>
      <c r="Y20" s="300">
        <f t="shared" si="17"/>
        <v>5.7064807837226974</v>
      </c>
      <c r="Z20" s="289">
        <v>-100</v>
      </c>
      <c r="AA20" s="300">
        <f t="shared" si="17"/>
        <v>14.248272895889894</v>
      </c>
      <c r="AB20" s="340"/>
      <c r="AC20" s="340">
        <f t="shared" si="9"/>
        <v>-29.401506224618977</v>
      </c>
      <c r="AD20" s="340">
        <f t="shared" si="10"/>
        <v>212.11698896956102</v>
      </c>
      <c r="AE20" s="340">
        <f t="shared" si="11"/>
        <v>22.488805067742362</v>
      </c>
      <c r="AG20" s="289"/>
      <c r="AH20" s="289">
        <v>-47.66</v>
      </c>
      <c r="AI20" s="289">
        <v>-16.89</v>
      </c>
      <c r="AJ20" s="289">
        <v>-4.55</v>
      </c>
      <c r="AK20" s="289">
        <v>-14.29</v>
      </c>
      <c r="AL20" s="289">
        <v>-3.29</v>
      </c>
      <c r="AM20" s="289">
        <v>-13.32</v>
      </c>
      <c r="AN20" s="289">
        <v>-100</v>
      </c>
    </row>
    <row r="21" spans="3:40">
      <c r="C21" s="743" t="s">
        <v>13</v>
      </c>
      <c r="D21" s="299">
        <v>179.88</v>
      </c>
      <c r="E21" s="298">
        <v>145.38</v>
      </c>
      <c r="F21" s="298">
        <f t="shared" si="0"/>
        <v>325.26</v>
      </c>
      <c r="G21" s="298">
        <v>12.37</v>
      </c>
      <c r="H21" s="298"/>
      <c r="I21" s="298">
        <f t="shared" si="1"/>
        <v>12.37</v>
      </c>
      <c r="J21" s="298">
        <v>8.43</v>
      </c>
      <c r="K21" s="298">
        <v>12.72</v>
      </c>
      <c r="L21" s="298">
        <f t="shared" si="2"/>
        <v>21.15</v>
      </c>
      <c r="M21" s="298">
        <v>87.69</v>
      </c>
      <c r="N21" s="298">
        <v>38.270000000000003</v>
      </c>
      <c r="O21" s="298">
        <f t="shared" si="3"/>
        <v>125.96000000000001</v>
      </c>
      <c r="P21" s="298">
        <v>75.150000000000006</v>
      </c>
      <c r="Q21" s="298">
        <v>58.46</v>
      </c>
      <c r="R21" s="298">
        <f t="shared" si="4"/>
        <v>133.61000000000001</v>
      </c>
      <c r="S21" s="298">
        <v>1.92</v>
      </c>
      <c r="T21" s="298"/>
      <c r="U21" s="298">
        <f t="shared" si="5"/>
        <v>1.92</v>
      </c>
      <c r="V21" s="299">
        <v>204.65</v>
      </c>
      <c r="W21" s="298">
        <f t="shared" si="6"/>
        <v>315.36</v>
      </c>
      <c r="X21" s="298">
        <f t="shared" si="7"/>
        <v>520.01</v>
      </c>
      <c r="Y21" s="299">
        <v>570.09</v>
      </c>
      <c r="Z21" s="289">
        <v>315.36</v>
      </c>
      <c r="AA21" s="298">
        <f t="shared" si="8"/>
        <v>885.45</v>
      </c>
      <c r="AB21" s="340"/>
      <c r="AC21" s="340">
        <f t="shared" si="9"/>
        <v>570.09</v>
      </c>
      <c r="AD21" s="340">
        <f t="shared" si="10"/>
        <v>570.19000000000005</v>
      </c>
      <c r="AE21" s="340">
        <f t="shared" si="11"/>
        <v>1140.28</v>
      </c>
      <c r="AG21" s="289" t="s">
        <v>13</v>
      </c>
      <c r="AH21" s="289">
        <v>145.38</v>
      </c>
      <c r="AI21" s="289">
        <v>38.270000000000003</v>
      </c>
      <c r="AJ21" s="289">
        <v>12.33</v>
      </c>
      <c r="AK21" s="289">
        <v>58.46</v>
      </c>
      <c r="AL21" s="289">
        <v>12.72</v>
      </c>
      <c r="AM21" s="289">
        <v>48.2</v>
      </c>
      <c r="AN21" s="289">
        <v>315.36</v>
      </c>
    </row>
    <row r="22" spans="3:40" ht="15.75" thickBot="1">
      <c r="C22" s="742"/>
      <c r="D22" s="300">
        <f>+(D21-D19)/D19*100</f>
        <v>2.8708681230698736</v>
      </c>
      <c r="E22" s="300">
        <f t="shared" ref="E22:AA22" si="18">+(E21-E19)/E19*100</f>
        <v>5.562009875108914</v>
      </c>
      <c r="F22" s="300">
        <f t="shared" si="18"/>
        <v>4.0565615202507992</v>
      </c>
      <c r="G22" s="300">
        <f t="shared" si="18"/>
        <v>13.071297989031077</v>
      </c>
      <c r="H22" s="300"/>
      <c r="I22" s="300">
        <f t="shared" si="18"/>
        <v>13.071297989031077</v>
      </c>
      <c r="J22" s="300">
        <f t="shared" si="18"/>
        <v>24.153166421207654</v>
      </c>
      <c r="K22" s="300">
        <f t="shared" si="18"/>
        <v>33.894736842105274</v>
      </c>
      <c r="L22" s="300">
        <f t="shared" si="18"/>
        <v>29.834254143646405</v>
      </c>
      <c r="M22" s="300">
        <f t="shared" si="18"/>
        <v>-13.083556348498368</v>
      </c>
      <c r="N22" s="300">
        <f t="shared" si="18"/>
        <v>-21.593935668920299</v>
      </c>
      <c r="O22" s="300">
        <f t="shared" si="18"/>
        <v>-15.858383433533724</v>
      </c>
      <c r="P22" s="300">
        <f t="shared" si="18"/>
        <v>4.680317592979522</v>
      </c>
      <c r="Q22" s="300">
        <f t="shared" si="18"/>
        <v>41.61821705426356</v>
      </c>
      <c r="R22" s="300">
        <f t="shared" si="18"/>
        <v>18.165738038383306</v>
      </c>
      <c r="S22" s="300">
        <f t="shared" si="18"/>
        <v>60</v>
      </c>
      <c r="T22" s="300"/>
      <c r="U22" s="300">
        <f t="shared" si="18"/>
        <v>60</v>
      </c>
      <c r="V22" s="300">
        <f t="shared" si="18"/>
        <v>5.1536327201726451</v>
      </c>
      <c r="W22" s="300">
        <f t="shared" si="18"/>
        <v>9.1437668720149556</v>
      </c>
      <c r="X22" s="300">
        <f t="shared" si="18"/>
        <v>7.53784432128381</v>
      </c>
      <c r="Y22" s="300">
        <f t="shared" si="18"/>
        <v>1.6040207453349731</v>
      </c>
      <c r="Z22" s="289">
        <v>-100</v>
      </c>
      <c r="AA22" s="300">
        <f t="shared" si="18"/>
        <v>4.1669117560556774</v>
      </c>
      <c r="AB22" s="340"/>
      <c r="AC22" s="340">
        <f t="shared" si="9"/>
        <v>96.845726497962403</v>
      </c>
      <c r="AD22" s="340">
        <f t="shared" si="10"/>
        <v>68.624794974572396</v>
      </c>
      <c r="AE22" s="340">
        <f t="shared" si="11"/>
        <v>116.80731257906167</v>
      </c>
      <c r="AG22" s="289"/>
      <c r="AH22" s="289">
        <v>-46.1</v>
      </c>
      <c r="AI22" s="289">
        <v>-12.14</v>
      </c>
      <c r="AJ22" s="289">
        <v>-3.91</v>
      </c>
      <c r="AK22" s="289">
        <v>-18.54</v>
      </c>
      <c r="AL22" s="289">
        <v>-4.03</v>
      </c>
      <c r="AM22" s="289">
        <v>-15.28</v>
      </c>
      <c r="AN22" s="289">
        <v>-100</v>
      </c>
    </row>
    <row r="23" spans="3:40">
      <c r="C23" s="743" t="s">
        <v>14</v>
      </c>
      <c r="D23" s="299">
        <v>173.85</v>
      </c>
      <c r="E23" s="298">
        <v>156.32</v>
      </c>
      <c r="F23" s="298">
        <f t="shared" si="0"/>
        <v>330.16999999999996</v>
      </c>
      <c r="G23" s="298">
        <v>12.22</v>
      </c>
      <c r="H23" s="298"/>
      <c r="I23" s="298">
        <f t="shared" si="1"/>
        <v>12.22</v>
      </c>
      <c r="J23" s="298">
        <v>8.18</v>
      </c>
      <c r="K23" s="298">
        <v>15.74</v>
      </c>
      <c r="L23" s="298">
        <f t="shared" si="2"/>
        <v>23.92</v>
      </c>
      <c r="M23" s="298">
        <v>60.72</v>
      </c>
      <c r="N23" s="298">
        <v>30.62</v>
      </c>
      <c r="O23" s="298">
        <f t="shared" si="3"/>
        <v>91.34</v>
      </c>
      <c r="P23" s="298">
        <v>78.78</v>
      </c>
      <c r="Q23" s="298">
        <v>79.040000000000006</v>
      </c>
      <c r="R23" s="298">
        <f t="shared" si="4"/>
        <v>157.82</v>
      </c>
      <c r="S23" s="298">
        <v>3.28</v>
      </c>
      <c r="T23" s="298"/>
      <c r="U23" s="298">
        <f t="shared" si="5"/>
        <v>3.28</v>
      </c>
      <c r="V23" s="299">
        <v>223.16</v>
      </c>
      <c r="W23" s="298">
        <f t="shared" si="6"/>
        <v>353.74</v>
      </c>
      <c r="X23" s="298">
        <f t="shared" si="7"/>
        <v>576.9</v>
      </c>
      <c r="Y23" s="299">
        <v>560.19000000000005</v>
      </c>
      <c r="Z23" s="289">
        <v>353.74</v>
      </c>
      <c r="AA23" s="298">
        <f t="shared" si="8"/>
        <v>913.93000000000006</v>
      </c>
      <c r="AB23" s="340"/>
      <c r="AC23" s="340">
        <f t="shared" si="9"/>
        <v>560.18999999999994</v>
      </c>
      <c r="AD23" s="340">
        <f t="shared" si="10"/>
        <v>635.46</v>
      </c>
      <c r="AE23" s="340">
        <f t="shared" si="11"/>
        <v>1195.6500000000001</v>
      </c>
      <c r="AG23" s="289" t="s">
        <v>14</v>
      </c>
      <c r="AH23" s="289">
        <v>156.32</v>
      </c>
      <c r="AI23" s="289">
        <v>30.62</v>
      </c>
      <c r="AJ23" s="289">
        <v>12.87</v>
      </c>
      <c r="AK23" s="289">
        <v>79.040000000000006</v>
      </c>
      <c r="AL23" s="289">
        <v>15.74</v>
      </c>
      <c r="AM23" s="289">
        <v>59.16</v>
      </c>
      <c r="AN23" s="289">
        <v>353.74</v>
      </c>
    </row>
    <row r="24" spans="3:40" ht="15.75" thickBot="1">
      <c r="C24" s="742"/>
      <c r="D24" s="300">
        <f>+(D23-D21)/D21*100</f>
        <v>-3.3522348232154773</v>
      </c>
      <c r="E24" s="300">
        <f t="shared" ref="E24:AA24" si="19">+(E23-E21)/E21*100</f>
        <v>7.525106617141283</v>
      </c>
      <c r="F24" s="300">
        <f t="shared" si="19"/>
        <v>1.5095615815040178</v>
      </c>
      <c r="G24" s="300">
        <f t="shared" si="19"/>
        <v>-1.212611156022624</v>
      </c>
      <c r="H24" s="300"/>
      <c r="I24" s="300">
        <f t="shared" si="19"/>
        <v>-1.212611156022624</v>
      </c>
      <c r="J24" s="300">
        <f t="shared" si="19"/>
        <v>-2.9655990510083039</v>
      </c>
      <c r="K24" s="300">
        <f t="shared" si="19"/>
        <v>23.742138364779869</v>
      </c>
      <c r="L24" s="300">
        <f t="shared" si="19"/>
        <v>13.096926713948006</v>
      </c>
      <c r="M24" s="300">
        <f t="shared" si="19"/>
        <v>-30.756072528224426</v>
      </c>
      <c r="N24" s="300">
        <f t="shared" si="19"/>
        <v>-19.989547948784953</v>
      </c>
      <c r="O24" s="300">
        <f t="shared" si="19"/>
        <v>-27.484915846300417</v>
      </c>
      <c r="P24" s="300">
        <f t="shared" si="19"/>
        <v>4.8303393213572789</v>
      </c>
      <c r="Q24" s="300">
        <f t="shared" si="19"/>
        <v>35.203557988368125</v>
      </c>
      <c r="R24" s="300">
        <f t="shared" si="19"/>
        <v>18.119901204999607</v>
      </c>
      <c r="S24" s="300">
        <f t="shared" si="19"/>
        <v>70.833333333333329</v>
      </c>
      <c r="T24" s="300"/>
      <c r="U24" s="300">
        <f t="shared" si="19"/>
        <v>70.833333333333329</v>
      </c>
      <c r="V24" s="300">
        <f t="shared" si="19"/>
        <v>9.0447104813095471</v>
      </c>
      <c r="W24" s="300">
        <f t="shared" si="19"/>
        <v>12.170218163368848</v>
      </c>
      <c r="X24" s="300">
        <f t="shared" si="19"/>
        <v>10.940174227418701</v>
      </c>
      <c r="Y24" s="300">
        <f t="shared" si="19"/>
        <v>-1.7365679103299436</v>
      </c>
      <c r="Z24" s="289">
        <v>-100</v>
      </c>
      <c r="AA24" s="300">
        <f t="shared" si="19"/>
        <v>3.2164436162403316</v>
      </c>
      <c r="AB24" s="340"/>
      <c r="AC24" s="340">
        <f t="shared" si="9"/>
        <v>46.421865577529317</v>
      </c>
      <c r="AD24" s="340">
        <f t="shared" si="10"/>
        <v>58.651473184873169</v>
      </c>
      <c r="AE24" s="340">
        <f t="shared" si="11"/>
        <v>85.802370058880626</v>
      </c>
      <c r="AG24" s="289"/>
      <c r="AH24" s="289">
        <v>-44.19</v>
      </c>
      <c r="AI24" s="289">
        <v>-8.66</v>
      </c>
      <c r="AJ24" s="289">
        <v>-3.64</v>
      </c>
      <c r="AK24" s="289">
        <v>-22.34</v>
      </c>
      <c r="AL24" s="289">
        <v>-4.45</v>
      </c>
      <c r="AM24" s="289">
        <v>-16.72</v>
      </c>
      <c r="AN24" s="289">
        <v>-100</v>
      </c>
    </row>
    <row r="25" spans="3:40">
      <c r="C25" s="743" t="s">
        <v>15</v>
      </c>
      <c r="D25" s="299">
        <v>180.73</v>
      </c>
      <c r="E25" s="298">
        <v>168.57</v>
      </c>
      <c r="F25" s="298">
        <f t="shared" si="0"/>
        <v>349.29999999999995</v>
      </c>
      <c r="G25" s="298">
        <v>7.47</v>
      </c>
      <c r="H25" s="298"/>
      <c r="I25" s="298">
        <f t="shared" si="1"/>
        <v>7.47</v>
      </c>
      <c r="J25" s="298">
        <v>7.33</v>
      </c>
      <c r="K25" s="298">
        <v>12.55</v>
      </c>
      <c r="L25" s="298">
        <f t="shared" si="2"/>
        <v>19.880000000000003</v>
      </c>
      <c r="M25" s="298">
        <v>27.29</v>
      </c>
      <c r="N25" s="298">
        <v>21.86</v>
      </c>
      <c r="O25" s="298">
        <f t="shared" si="3"/>
        <v>49.15</v>
      </c>
      <c r="P25" s="298">
        <v>86.8</v>
      </c>
      <c r="Q25" s="298">
        <v>109.26</v>
      </c>
      <c r="R25" s="298">
        <f t="shared" si="4"/>
        <v>196.06</v>
      </c>
      <c r="S25" s="298">
        <v>6.6</v>
      </c>
      <c r="T25" s="298"/>
      <c r="U25" s="298">
        <f t="shared" si="5"/>
        <v>6.6</v>
      </c>
      <c r="V25" s="299">
        <v>229.61</v>
      </c>
      <c r="W25" s="298">
        <f t="shared" si="6"/>
        <v>387.92</v>
      </c>
      <c r="X25" s="298">
        <f t="shared" si="7"/>
        <v>617.53</v>
      </c>
      <c r="Y25" s="299">
        <v>545.83000000000004</v>
      </c>
      <c r="Z25" s="289">
        <v>387.92</v>
      </c>
      <c r="AA25" s="298">
        <f t="shared" si="8"/>
        <v>933.75</v>
      </c>
      <c r="AB25" s="340"/>
      <c r="AC25" s="340">
        <f t="shared" si="9"/>
        <v>545.83000000000004</v>
      </c>
      <c r="AD25" s="340">
        <f t="shared" si="10"/>
        <v>700.16000000000008</v>
      </c>
      <c r="AE25" s="340">
        <f t="shared" si="11"/>
        <v>1245.9899999999998</v>
      </c>
      <c r="AG25" s="289" t="s">
        <v>15</v>
      </c>
      <c r="AH25" s="289">
        <v>168.57</v>
      </c>
      <c r="AI25" s="289">
        <v>21.86</v>
      </c>
      <c r="AJ25" s="289">
        <v>11.95</v>
      </c>
      <c r="AK25" s="289">
        <v>109.26</v>
      </c>
      <c r="AL25" s="289">
        <v>12.55</v>
      </c>
      <c r="AM25" s="289">
        <v>63.74</v>
      </c>
      <c r="AN25" s="289">
        <v>387.92</v>
      </c>
    </row>
    <row r="26" spans="3:40" ht="15.75" thickBot="1">
      <c r="C26" s="744"/>
      <c r="D26" s="300">
        <f>+(D25-D23)/D23*100</f>
        <v>3.9574345700316336</v>
      </c>
      <c r="E26" s="300">
        <f t="shared" ref="E26:AA26" si="20">+(E25-E23)/E23*100</f>
        <v>7.8364892528147392</v>
      </c>
      <c r="F26" s="300">
        <f t="shared" si="20"/>
        <v>5.7939849168610102</v>
      </c>
      <c r="G26" s="300">
        <f t="shared" si="20"/>
        <v>-38.870703764320794</v>
      </c>
      <c r="H26" s="300"/>
      <c r="I26" s="300">
        <f t="shared" si="20"/>
        <v>-38.870703764320794</v>
      </c>
      <c r="J26" s="300">
        <f t="shared" si="20"/>
        <v>-10.391198044009776</v>
      </c>
      <c r="K26" s="300">
        <f t="shared" si="20"/>
        <v>-20.266836086404062</v>
      </c>
      <c r="L26" s="300">
        <f t="shared" si="20"/>
        <v>-16.889632107023406</v>
      </c>
      <c r="M26" s="300">
        <f t="shared" si="20"/>
        <v>-55.055994729907773</v>
      </c>
      <c r="N26" s="300">
        <f t="shared" si="20"/>
        <v>-28.608752449379494</v>
      </c>
      <c r="O26" s="300">
        <f t="shared" si="20"/>
        <v>-46.190059119772279</v>
      </c>
      <c r="P26" s="300">
        <f t="shared" si="20"/>
        <v>10.180248794110176</v>
      </c>
      <c r="Q26" s="300">
        <f t="shared" si="20"/>
        <v>38.233805668016188</v>
      </c>
      <c r="R26" s="300">
        <f t="shared" si="20"/>
        <v>24.230135597516163</v>
      </c>
      <c r="S26" s="300">
        <f t="shared" si="20"/>
        <v>101.21951219512195</v>
      </c>
      <c r="T26" s="300"/>
      <c r="U26" s="300">
        <f t="shared" si="20"/>
        <v>101.21951219512195</v>
      </c>
      <c r="V26" s="300">
        <f t="shared" si="20"/>
        <v>2.8903029216705582</v>
      </c>
      <c r="W26" s="300">
        <f t="shared" si="20"/>
        <v>9.6624639565782786</v>
      </c>
      <c r="X26" s="300">
        <f t="shared" si="20"/>
        <v>7.0428150459351704</v>
      </c>
      <c r="Y26" s="300">
        <f t="shared" si="20"/>
        <v>-2.5634159838626203</v>
      </c>
      <c r="Z26" s="289">
        <v>-100</v>
      </c>
      <c r="AA26" s="300">
        <f t="shared" si="20"/>
        <v>2.1686562428194649</v>
      </c>
      <c r="AB26" s="340"/>
      <c r="AC26" s="340">
        <f t="shared" si="9"/>
        <v>13.929601942695973</v>
      </c>
      <c r="AD26" s="340">
        <f t="shared" si="10"/>
        <v>6.8571703416256469</v>
      </c>
      <c r="AE26" s="340">
        <f t="shared" si="11"/>
        <v>36.336052764317827</v>
      </c>
      <c r="AG26" s="289"/>
      <c r="AH26" s="289">
        <v>-43.45</v>
      </c>
      <c r="AI26" s="289">
        <v>-5.63</v>
      </c>
      <c r="AJ26" s="289">
        <v>-3.08</v>
      </c>
      <c r="AK26" s="289">
        <v>-28.17</v>
      </c>
      <c r="AL26" s="289">
        <v>-3.23</v>
      </c>
      <c r="AM26" s="289">
        <v>-16.43</v>
      </c>
      <c r="AN26" s="289">
        <v>-100</v>
      </c>
    </row>
    <row r="27" spans="3:40">
      <c r="C27" s="741" t="s">
        <v>64</v>
      </c>
      <c r="D27" s="301">
        <v>181.06</v>
      </c>
      <c r="E27" s="298">
        <v>169.77699999999999</v>
      </c>
      <c r="F27" s="298">
        <f t="shared" si="0"/>
        <v>350.83699999999999</v>
      </c>
      <c r="G27" s="298">
        <v>6.15</v>
      </c>
      <c r="H27" s="298"/>
      <c r="I27" s="298">
        <f t="shared" si="1"/>
        <v>6.15</v>
      </c>
      <c r="J27" s="298">
        <v>7.64</v>
      </c>
      <c r="K27" s="298">
        <v>12.01</v>
      </c>
      <c r="L27" s="298">
        <f t="shared" si="2"/>
        <v>19.649999999999999</v>
      </c>
      <c r="M27" s="298">
        <v>24.62</v>
      </c>
      <c r="N27" s="298">
        <v>18.338000000000001</v>
      </c>
      <c r="O27" s="298">
        <f t="shared" si="3"/>
        <v>42.957999999999998</v>
      </c>
      <c r="P27" s="298">
        <v>104.27</v>
      </c>
      <c r="Q27" s="298">
        <v>126.321</v>
      </c>
      <c r="R27" s="298">
        <f t="shared" si="4"/>
        <v>230.59100000000001</v>
      </c>
      <c r="S27" s="298">
        <v>4.79</v>
      </c>
      <c r="T27" s="298"/>
      <c r="U27" s="298">
        <f t="shared" si="5"/>
        <v>4.79</v>
      </c>
      <c r="V27" s="301">
        <v>226.96</v>
      </c>
      <c r="W27" s="298">
        <f t="shared" si="6"/>
        <v>416.97</v>
      </c>
      <c r="X27" s="298">
        <f t="shared" si="7"/>
        <v>643.93000000000006</v>
      </c>
      <c r="Y27" s="301">
        <v>555.49</v>
      </c>
      <c r="Z27" s="290">
        <v>416.97</v>
      </c>
      <c r="AA27" s="298">
        <f t="shared" si="8"/>
        <v>972.46</v>
      </c>
      <c r="AB27" s="340"/>
      <c r="AC27" s="340">
        <f t="shared" si="9"/>
        <v>555.49</v>
      </c>
      <c r="AD27" s="340">
        <f t="shared" si="10"/>
        <v>743.41599999999994</v>
      </c>
      <c r="AE27" s="340">
        <f t="shared" si="11"/>
        <v>1298.9059999999999</v>
      </c>
      <c r="AG27" s="289" t="s">
        <v>64</v>
      </c>
      <c r="AH27" s="290">
        <v>169.77699999999999</v>
      </c>
      <c r="AI27" s="290">
        <v>18.338000000000001</v>
      </c>
      <c r="AJ27" s="290">
        <v>14.178000000000001</v>
      </c>
      <c r="AK27" s="290">
        <v>126.321</v>
      </c>
      <c r="AL27" s="290">
        <v>12.01</v>
      </c>
      <c r="AM27" s="290">
        <v>76.346000000000004</v>
      </c>
      <c r="AN27" s="290">
        <v>416.97</v>
      </c>
    </row>
    <row r="28" spans="3:40" ht="15.75" thickBot="1">
      <c r="C28" s="744"/>
      <c r="D28" s="300">
        <f>+(D27-D25)/D25*100</f>
        <v>0.18259281801583163</v>
      </c>
      <c r="E28" s="300">
        <f t="shared" ref="E28:AA28" si="21">+(E27-E25)/E25*100</f>
        <v>0.71602301714420935</v>
      </c>
      <c r="F28" s="300">
        <f t="shared" si="21"/>
        <v>0.44002290294876462</v>
      </c>
      <c r="G28" s="300">
        <f t="shared" si="21"/>
        <v>-17.670682730923687</v>
      </c>
      <c r="H28" s="300"/>
      <c r="I28" s="300">
        <f t="shared" si="21"/>
        <v>-17.670682730923687</v>
      </c>
      <c r="J28" s="300">
        <f t="shared" si="21"/>
        <v>4.2291950886766658</v>
      </c>
      <c r="K28" s="300">
        <f t="shared" si="21"/>
        <v>-4.3027888446215208</v>
      </c>
      <c r="L28" s="300">
        <f t="shared" si="21"/>
        <v>-1.1569416498994163</v>
      </c>
      <c r="M28" s="300">
        <f t="shared" si="21"/>
        <v>-9.7838035910589891</v>
      </c>
      <c r="N28" s="300">
        <f t="shared" si="21"/>
        <v>-16.111619396157359</v>
      </c>
      <c r="O28" s="300">
        <f t="shared" si="21"/>
        <v>-12.598168870803663</v>
      </c>
      <c r="P28" s="300">
        <f t="shared" si="21"/>
        <v>20.126728110599075</v>
      </c>
      <c r="Q28" s="300">
        <f t="shared" si="21"/>
        <v>15.615046677649635</v>
      </c>
      <c r="R28" s="300">
        <f t="shared" si="21"/>
        <v>17.612465571763749</v>
      </c>
      <c r="S28" s="300">
        <f t="shared" si="21"/>
        <v>-27.424242424242419</v>
      </c>
      <c r="T28" s="300"/>
      <c r="U28" s="300">
        <f t="shared" si="21"/>
        <v>-27.424242424242419</v>
      </c>
      <c r="V28" s="300">
        <f t="shared" si="21"/>
        <v>-1.1541309176429622</v>
      </c>
      <c r="W28" s="300">
        <f t="shared" si="21"/>
        <v>7.4886574551453933</v>
      </c>
      <c r="X28" s="300">
        <f t="shared" si="21"/>
        <v>4.2750959467556378</v>
      </c>
      <c r="Y28" s="300">
        <f t="shared" si="21"/>
        <v>1.7697818001941936</v>
      </c>
      <c r="Z28" s="290">
        <v>100</v>
      </c>
      <c r="AA28" s="300">
        <f t="shared" si="21"/>
        <v>4.1456492637215572</v>
      </c>
      <c r="AB28" s="340"/>
      <c r="AC28" s="340">
        <f t="shared" si="9"/>
        <v>-31.494343646576489</v>
      </c>
      <c r="AD28" s="340">
        <f t="shared" si="10"/>
        <v>3.4053189091603588</v>
      </c>
      <c r="AE28" s="340">
        <f t="shared" si="11"/>
        <v>-36.522451254401034</v>
      </c>
      <c r="AG28" s="289"/>
      <c r="AH28" s="290">
        <v>40.716838141832739</v>
      </c>
      <c r="AI28" s="290">
        <v>4.3979183154663408</v>
      </c>
      <c r="AJ28" s="290">
        <v>3.4002446219152458</v>
      </c>
      <c r="AK28" s="290">
        <v>30.294985250737462</v>
      </c>
      <c r="AL28" s="290">
        <v>2.8803031393145786</v>
      </c>
      <c r="AM28" s="290">
        <v>18.309710530733625</v>
      </c>
      <c r="AN28" s="290">
        <v>100</v>
      </c>
    </row>
    <row r="29" spans="3:40">
      <c r="C29" s="741" t="s">
        <v>198</v>
      </c>
      <c r="D29" s="301">
        <v>181.02</v>
      </c>
      <c r="E29" s="298">
        <v>167.27799999999999</v>
      </c>
      <c r="F29" s="298">
        <f t="shared" si="0"/>
        <v>348.298</v>
      </c>
      <c r="G29" s="298">
        <v>7.93</v>
      </c>
      <c r="H29" s="298"/>
      <c r="I29" s="298">
        <f t="shared" si="1"/>
        <v>7.93</v>
      </c>
      <c r="J29" s="298">
        <v>8.3699999999999992</v>
      </c>
      <c r="K29" s="298">
        <v>13.952</v>
      </c>
      <c r="L29" s="298">
        <f t="shared" si="2"/>
        <v>22.321999999999999</v>
      </c>
      <c r="M29" s="298">
        <v>18</v>
      </c>
      <c r="N29" s="298">
        <v>26.794</v>
      </c>
      <c r="O29" s="298">
        <f t="shared" si="3"/>
        <v>44.793999999999997</v>
      </c>
      <c r="P29" s="298">
        <v>119.47</v>
      </c>
      <c r="Q29" s="298">
        <v>156.73699999999999</v>
      </c>
      <c r="R29" s="298">
        <f t="shared" si="4"/>
        <v>276.20699999999999</v>
      </c>
      <c r="S29" s="298">
        <v>3.09</v>
      </c>
      <c r="T29" s="298"/>
      <c r="U29" s="298">
        <f t="shared" si="5"/>
        <v>3.09</v>
      </c>
      <c r="V29" s="301">
        <v>243.47</v>
      </c>
      <c r="W29" s="298">
        <f t="shared" si="6"/>
        <v>470.88799999999998</v>
      </c>
      <c r="X29" s="298">
        <f t="shared" si="7"/>
        <v>714.35799999999995</v>
      </c>
      <c r="Y29" s="308">
        <v>581.33000000000004</v>
      </c>
      <c r="Z29" s="290">
        <v>470.88799999999998</v>
      </c>
      <c r="AA29" s="298">
        <f t="shared" si="8"/>
        <v>1052.2180000000001</v>
      </c>
      <c r="AB29" s="340"/>
      <c r="AC29" s="340">
        <f t="shared" si="9"/>
        <v>581.35</v>
      </c>
      <c r="AD29" s="340">
        <f t="shared" si="10"/>
        <v>835.64899999999989</v>
      </c>
      <c r="AE29" s="340">
        <f t="shared" si="11"/>
        <v>1416.9989999999998</v>
      </c>
      <c r="AG29" s="289" t="s">
        <v>198</v>
      </c>
      <c r="AH29" s="290">
        <v>167.27799999999999</v>
      </c>
      <c r="AI29" s="290">
        <v>26.794</v>
      </c>
      <c r="AJ29" s="290">
        <v>14.224</v>
      </c>
      <c r="AK29" s="290">
        <v>156.73699999999999</v>
      </c>
      <c r="AL29" s="290">
        <v>13.952</v>
      </c>
      <c r="AM29" s="290">
        <v>91.903000000000006</v>
      </c>
      <c r="AN29" s="290">
        <v>470.88799999999998</v>
      </c>
    </row>
    <row r="30" spans="3:40" ht="15.75" thickBot="1">
      <c r="C30" s="742"/>
      <c r="D30" s="300">
        <f>+(D29-D27)/D27*100</f>
        <v>-2.2092124157733373E-2</v>
      </c>
      <c r="E30" s="300">
        <f t="shared" ref="E30:AA30" si="22">+(E29-E27)/E27*100</f>
        <v>-1.4719308269082358</v>
      </c>
      <c r="F30" s="300">
        <f t="shared" si="22"/>
        <v>-0.7236978995943949</v>
      </c>
      <c r="G30" s="300">
        <f t="shared" si="22"/>
        <v>28.943089430894297</v>
      </c>
      <c r="H30" s="300"/>
      <c r="I30" s="300">
        <f t="shared" si="22"/>
        <v>28.943089430894297</v>
      </c>
      <c r="J30" s="300">
        <f t="shared" si="22"/>
        <v>9.5549738219895239</v>
      </c>
      <c r="K30" s="300">
        <f t="shared" si="22"/>
        <v>16.16985845129059</v>
      </c>
      <c r="L30" s="300">
        <f t="shared" si="22"/>
        <v>13.597964376590335</v>
      </c>
      <c r="M30" s="300">
        <f t="shared" si="22"/>
        <v>-26.88870836718116</v>
      </c>
      <c r="N30" s="300">
        <f t="shared" si="22"/>
        <v>46.111898789399056</v>
      </c>
      <c r="O30" s="300">
        <f t="shared" si="22"/>
        <v>4.2739419898505489</v>
      </c>
      <c r="P30" s="300">
        <f t="shared" si="22"/>
        <v>14.577539081231421</v>
      </c>
      <c r="Q30" s="300">
        <f t="shared" si="22"/>
        <v>24.078340101804134</v>
      </c>
      <c r="R30" s="300">
        <f t="shared" si="22"/>
        <v>19.782211794909596</v>
      </c>
      <c r="S30" s="300">
        <f t="shared" si="22"/>
        <v>-35.490605427974955</v>
      </c>
      <c r="T30" s="300"/>
      <c r="U30" s="300">
        <f t="shared" si="22"/>
        <v>-35.490605427974955</v>
      </c>
      <c r="V30" s="300">
        <f t="shared" si="22"/>
        <v>7.2744095875925225</v>
      </c>
      <c r="W30" s="300">
        <f t="shared" si="22"/>
        <v>12.930906300213433</v>
      </c>
      <c r="X30" s="300">
        <f t="shared" si="22"/>
        <v>10.937213672293552</v>
      </c>
      <c r="Y30" s="300">
        <f t="shared" si="22"/>
        <v>4.6517489063709574</v>
      </c>
      <c r="Z30" s="289">
        <v>100</v>
      </c>
      <c r="AA30" s="300">
        <f t="shared" si="22"/>
        <v>8.2016741048475037</v>
      </c>
      <c r="AB30" s="340"/>
      <c r="AC30" s="340">
        <f t="shared" si="9"/>
        <v>-2.051393997606084</v>
      </c>
      <c r="AD30" s="340">
        <f t="shared" si="10"/>
        <v>97.819072815798975</v>
      </c>
      <c r="AE30" s="340">
        <f t="shared" si="11"/>
        <v>41.320117936968984</v>
      </c>
      <c r="AG30" s="289"/>
      <c r="AH30" s="289">
        <v>35.523946246241145</v>
      </c>
      <c r="AI30" s="289">
        <v>5.6901004060413518</v>
      </c>
      <c r="AJ30" s="289">
        <v>3.0206758294966107</v>
      </c>
      <c r="AK30" s="289">
        <v>33.285409694024906</v>
      </c>
      <c r="AL30" s="289">
        <v>2.9629126246580926</v>
      </c>
      <c r="AM30" s="289">
        <v>19.516955199537897</v>
      </c>
      <c r="AN30" s="289">
        <v>100</v>
      </c>
    </row>
    <row r="31" spans="3:40" ht="15.75" thickBot="1">
      <c r="C31" s="302" t="s">
        <v>30</v>
      </c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4"/>
      <c r="Z31" s="298"/>
      <c r="AA31" s="298"/>
      <c r="AB31" s="340"/>
      <c r="AC31" s="340">
        <f t="shared" si="9"/>
        <v>0</v>
      </c>
      <c r="AD31" s="340">
        <f t="shared" si="10"/>
        <v>0</v>
      </c>
      <c r="AE31" s="340">
        <f t="shared" si="11"/>
        <v>0</v>
      </c>
      <c r="AG31" t="s">
        <v>37</v>
      </c>
    </row>
  </sheetData>
  <mergeCells count="29">
    <mergeCell ref="C7:C8"/>
    <mergeCell ref="C9:C10"/>
    <mergeCell ref="C11:C12"/>
    <mergeCell ref="C13:C14"/>
    <mergeCell ref="C15:C16"/>
    <mergeCell ref="C29:C30"/>
    <mergeCell ref="C17:C18"/>
    <mergeCell ref="C19:C20"/>
    <mergeCell ref="C21:C22"/>
    <mergeCell ref="C23:C24"/>
    <mergeCell ref="C25:C26"/>
    <mergeCell ref="C27:C28"/>
    <mergeCell ref="AG2:AN2"/>
    <mergeCell ref="AG3:AN3"/>
    <mergeCell ref="AH4:AH5"/>
    <mergeCell ref="AI4:AI5"/>
    <mergeCell ref="AK4:AK5"/>
    <mergeCell ref="AL4:AL5"/>
    <mergeCell ref="AM4:AM5"/>
    <mergeCell ref="AN4:AN5"/>
    <mergeCell ref="S5:U5"/>
    <mergeCell ref="V5:X5"/>
    <mergeCell ref="Y5:AA5"/>
    <mergeCell ref="C4:Z4"/>
    <mergeCell ref="D5:F5"/>
    <mergeCell ref="G5:I5"/>
    <mergeCell ref="J5:L5"/>
    <mergeCell ref="M5:O5"/>
    <mergeCell ref="P5:R5"/>
  </mergeCells>
  <pageMargins left="0.14000000000000001" right="0.14000000000000001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AM101"/>
  <sheetViews>
    <sheetView view="pageBreakPreview" topLeftCell="A34" zoomScale="80" zoomScaleSheetLayoutView="80" workbookViewId="0">
      <selection activeCell="AA99" sqref="AA99"/>
    </sheetView>
  </sheetViews>
  <sheetFormatPr defaultRowHeight="15"/>
  <cols>
    <col min="3" max="3" width="10.5703125" customWidth="1"/>
    <col min="4" max="4" width="9.28515625" bestFit="1" customWidth="1"/>
    <col min="5" max="5" width="9" bestFit="1" customWidth="1"/>
    <col min="6" max="8" width="9.5703125" bestFit="1" customWidth="1"/>
    <col min="9" max="9" width="9" bestFit="1" customWidth="1"/>
    <col min="11" max="11" width="22.5703125" customWidth="1"/>
    <col min="12" max="12" width="11.5703125" bestFit="1" customWidth="1"/>
    <col min="15" max="15" width="9.5703125" customWidth="1"/>
    <col min="21" max="21" width="10.5703125" customWidth="1"/>
    <col min="22" max="22" width="10.5703125" bestFit="1" customWidth="1"/>
    <col min="23" max="23" width="10.28515625" bestFit="1" customWidth="1"/>
    <col min="24" max="24" width="10.5703125" bestFit="1" customWidth="1"/>
    <col min="25" max="25" width="11" customWidth="1"/>
    <col min="26" max="27" width="10.5703125" bestFit="1" customWidth="1"/>
    <col min="28" max="28" width="10.42578125" bestFit="1" customWidth="1"/>
    <col min="29" max="29" width="10.5703125" bestFit="1" customWidth="1"/>
    <col min="30" max="30" width="19.7109375" customWidth="1"/>
    <col min="31" max="31" width="14.140625" customWidth="1"/>
    <col min="32" max="32" width="12.28515625" customWidth="1"/>
    <col min="33" max="33" width="15.28515625" customWidth="1"/>
    <col min="34" max="34" width="12.7109375" customWidth="1"/>
  </cols>
  <sheetData>
    <row r="2" spans="2:38" ht="15.75" thickBot="1"/>
    <row r="3" spans="2:38" ht="16.5" thickBot="1">
      <c r="B3" s="751" t="s">
        <v>59</v>
      </c>
      <c r="C3" s="752"/>
      <c r="D3" s="752"/>
      <c r="E3" s="752"/>
      <c r="F3" s="752"/>
      <c r="G3" s="752"/>
      <c r="H3" s="752"/>
      <c r="I3" s="753"/>
      <c r="J3" s="282"/>
      <c r="K3" s="564" t="s">
        <v>66</v>
      </c>
      <c r="L3" s="565"/>
      <c r="M3" s="565"/>
      <c r="N3" s="565"/>
      <c r="O3" s="565"/>
      <c r="P3" s="565"/>
      <c r="Q3" s="766"/>
      <c r="T3" s="733" t="s">
        <v>279</v>
      </c>
      <c r="U3" s="734"/>
      <c r="V3" s="734"/>
      <c r="W3" s="734"/>
      <c r="X3" s="734"/>
      <c r="Y3" s="734"/>
      <c r="Z3" s="734"/>
      <c r="AA3" s="734"/>
      <c r="AB3" s="765"/>
      <c r="AD3" s="733" t="s">
        <v>279</v>
      </c>
      <c r="AE3" s="734"/>
      <c r="AF3" s="734"/>
      <c r="AG3" s="734"/>
      <c r="AH3" s="734"/>
      <c r="AI3" s="734"/>
      <c r="AJ3" s="734"/>
      <c r="AK3" s="734"/>
      <c r="AL3" s="765"/>
    </row>
    <row r="4" spans="2:38" ht="52.15" customHeight="1" thickBot="1">
      <c r="B4" s="754" t="s">
        <v>0</v>
      </c>
      <c r="C4" s="539" t="s">
        <v>60</v>
      </c>
      <c r="D4" s="540"/>
      <c r="E4" s="540"/>
      <c r="F4" s="540"/>
      <c r="G4" s="540"/>
      <c r="H4" s="540"/>
      <c r="I4" s="756"/>
      <c r="J4" s="282"/>
      <c r="K4" s="767" t="s">
        <v>43</v>
      </c>
      <c r="L4" s="768"/>
      <c r="M4" s="768"/>
      <c r="N4" s="768"/>
      <c r="O4" s="768"/>
      <c r="P4" s="768"/>
      <c r="Q4" s="769"/>
      <c r="T4" s="160" t="s">
        <v>0</v>
      </c>
      <c r="U4" s="161" t="s">
        <v>17</v>
      </c>
      <c r="V4" s="161" t="s">
        <v>18</v>
      </c>
      <c r="W4" s="161" t="s">
        <v>19</v>
      </c>
      <c r="X4" s="161" t="s">
        <v>1</v>
      </c>
      <c r="Y4" s="161" t="s">
        <v>20</v>
      </c>
      <c r="Z4" s="161" t="s">
        <v>21</v>
      </c>
      <c r="AA4" s="161" t="s">
        <v>4</v>
      </c>
      <c r="AB4" s="161" t="s">
        <v>5</v>
      </c>
      <c r="AD4" s="770" t="s">
        <v>67</v>
      </c>
      <c r="AE4" s="822" t="s">
        <v>198</v>
      </c>
      <c r="AF4" s="823"/>
      <c r="AG4" s="824" t="s">
        <v>268</v>
      </c>
      <c r="AH4" s="824"/>
    </row>
    <row r="5" spans="2:38" ht="31.9" customHeight="1" thickBot="1">
      <c r="B5" s="755"/>
      <c r="C5" s="341" t="s">
        <v>61</v>
      </c>
      <c r="D5" s="342" t="s">
        <v>1</v>
      </c>
      <c r="E5" s="341" t="s">
        <v>62</v>
      </c>
      <c r="F5" s="342" t="s">
        <v>2</v>
      </c>
      <c r="G5" s="341" t="s">
        <v>3</v>
      </c>
      <c r="H5" s="342" t="s">
        <v>4</v>
      </c>
      <c r="I5" s="343" t="s">
        <v>5</v>
      </c>
      <c r="J5" s="282"/>
      <c r="K5" s="770" t="s">
        <v>67</v>
      </c>
      <c r="L5" s="772" t="s">
        <v>198</v>
      </c>
      <c r="M5" s="773"/>
      <c r="N5" s="774"/>
      <c r="O5" s="772" t="s">
        <v>268</v>
      </c>
      <c r="P5" s="773"/>
      <c r="Q5" s="774"/>
      <c r="R5" t="s">
        <v>287</v>
      </c>
      <c r="T5" s="414" t="s">
        <v>7</v>
      </c>
      <c r="U5" s="3">
        <v>126.44</v>
      </c>
      <c r="V5" s="3">
        <v>3.85</v>
      </c>
      <c r="W5" s="3">
        <v>10.67</v>
      </c>
      <c r="X5" s="3">
        <v>76.2</v>
      </c>
      <c r="Y5" s="3">
        <v>60.65</v>
      </c>
      <c r="Z5" s="3">
        <v>3.84</v>
      </c>
      <c r="AA5" s="3">
        <v>102.11</v>
      </c>
      <c r="AB5" s="3">
        <v>383.76</v>
      </c>
      <c r="AD5" s="771"/>
      <c r="AE5" t="s">
        <v>289</v>
      </c>
      <c r="AF5" t="s">
        <v>87</v>
      </c>
      <c r="AG5" t="s">
        <v>289</v>
      </c>
      <c r="AH5" t="s">
        <v>87</v>
      </c>
    </row>
    <row r="6" spans="2:38" ht="15.75" thickBot="1">
      <c r="B6" s="757" t="s">
        <v>7</v>
      </c>
      <c r="C6" s="344">
        <v>194.21</v>
      </c>
      <c r="D6" s="344">
        <v>97.6</v>
      </c>
      <c r="E6" s="344">
        <v>14.97</v>
      </c>
      <c r="F6" s="344">
        <v>74.17</v>
      </c>
      <c r="G6" s="344">
        <v>18.43</v>
      </c>
      <c r="H6" s="344">
        <v>121.34</v>
      </c>
      <c r="I6" s="344">
        <v>520.72</v>
      </c>
      <c r="J6" s="282"/>
      <c r="K6" s="771"/>
      <c r="L6" s="18" t="s">
        <v>68</v>
      </c>
      <c r="M6" s="18" t="s">
        <v>69</v>
      </c>
      <c r="N6" s="156" t="s">
        <v>5</v>
      </c>
      <c r="O6" s="18" t="s">
        <v>68</v>
      </c>
      <c r="P6" s="18" t="s">
        <v>69</v>
      </c>
      <c r="Q6" s="156" t="s">
        <v>5</v>
      </c>
      <c r="T6" s="415"/>
      <c r="U6" s="163">
        <v>3.5</v>
      </c>
      <c r="V6" s="163">
        <v>34.619999999999997</v>
      </c>
      <c r="W6" s="163">
        <v>19.350000000000001</v>
      </c>
      <c r="X6" s="163">
        <v>29.48</v>
      </c>
      <c r="Y6" s="163">
        <v>10.47</v>
      </c>
      <c r="Z6" s="163">
        <v>43.86</v>
      </c>
      <c r="AA6" s="163">
        <v>13.14</v>
      </c>
      <c r="AB6" s="163">
        <v>11.3</v>
      </c>
      <c r="AD6" s="749" t="s">
        <v>70</v>
      </c>
      <c r="AE6" s="421">
        <v>8110</v>
      </c>
    </row>
    <row r="7" spans="2:38" ht="16.149999999999999" customHeight="1" thickBot="1">
      <c r="B7" s="758"/>
      <c r="C7" s="345">
        <v>-6.56</v>
      </c>
      <c r="D7" s="345">
        <v>-28.1</v>
      </c>
      <c r="E7" s="345">
        <v>-7.78</v>
      </c>
      <c r="F7" s="345">
        <v>-14.55</v>
      </c>
      <c r="G7" s="345">
        <v>-22.13</v>
      </c>
      <c r="H7" s="345">
        <v>-8.84</v>
      </c>
      <c r="I7" s="345">
        <v>-12.31</v>
      </c>
      <c r="J7" s="282"/>
      <c r="K7" s="749" t="s">
        <v>70</v>
      </c>
      <c r="L7" s="177">
        <v>13.914</v>
      </c>
      <c r="M7" s="177">
        <v>1.369</v>
      </c>
      <c r="N7" s="178">
        <f>+L7+M7</f>
        <v>15.282999999999999</v>
      </c>
      <c r="O7" s="177">
        <v>13.914</v>
      </c>
      <c r="P7" s="177">
        <v>1.369</v>
      </c>
      <c r="Q7" s="178">
        <f>+O7+P7</f>
        <v>15.282999999999999</v>
      </c>
      <c r="R7" s="35">
        <f>+(Q7/N7)*100-100</f>
        <v>0</v>
      </c>
      <c r="T7" s="414" t="s">
        <v>8</v>
      </c>
      <c r="U7" s="3">
        <v>142.09</v>
      </c>
      <c r="V7" s="3">
        <v>6.62</v>
      </c>
      <c r="W7" s="3">
        <v>10.68</v>
      </c>
      <c r="X7" s="3">
        <v>79.22</v>
      </c>
      <c r="Y7" s="3">
        <v>68.83</v>
      </c>
      <c r="Z7" s="3">
        <v>2.13</v>
      </c>
      <c r="AA7" s="3">
        <v>114</v>
      </c>
      <c r="AB7" s="3">
        <v>423.57</v>
      </c>
      <c r="AD7" s="750"/>
      <c r="AE7" s="25"/>
      <c r="AI7" s="421"/>
    </row>
    <row r="8" spans="2:38" ht="15.75" thickBot="1">
      <c r="B8" s="757" t="s">
        <v>8</v>
      </c>
      <c r="C8" s="344">
        <v>211.81</v>
      </c>
      <c r="D8" s="344">
        <v>108.06</v>
      </c>
      <c r="E8" s="344">
        <v>14.47</v>
      </c>
      <c r="F8" s="344">
        <v>82.4</v>
      </c>
      <c r="G8" s="344">
        <v>22.91</v>
      </c>
      <c r="H8" s="344">
        <v>134.04</v>
      </c>
      <c r="I8" s="344">
        <v>573.69000000000005</v>
      </c>
      <c r="J8" s="282"/>
      <c r="K8" s="750"/>
      <c r="L8" s="159">
        <f>+L7/L$33%</f>
        <v>3.01254903998545</v>
      </c>
      <c r="M8" s="159">
        <f>+M7/M$33%</f>
        <v>1.1458943667866408</v>
      </c>
      <c r="N8" s="159">
        <f>+N7/N$33%</f>
        <v>2.6289353181797854</v>
      </c>
      <c r="O8" s="159">
        <f>+O7/O$33%</f>
        <v>2.8944746197803664</v>
      </c>
      <c r="P8" s="159">
        <f t="shared" ref="P8:Q8" si="0">+P7/P$33%</f>
        <v>1.0937300268439216</v>
      </c>
      <c r="Q8" s="159">
        <f t="shared" si="0"/>
        <v>2.5224591790082806</v>
      </c>
      <c r="R8" s="35"/>
      <c r="T8" s="415"/>
      <c r="U8" s="163">
        <f>+(U7-U5)/U5*100</f>
        <v>12.377412211325534</v>
      </c>
      <c r="V8" s="163">
        <f t="shared" ref="V8" si="1">+(V7-V5)/V5*100</f>
        <v>71.948051948051955</v>
      </c>
      <c r="W8" s="163">
        <f t="shared" ref="W8" si="2">+(W7-W5)/W5*100</f>
        <v>9.3720712277411314E-2</v>
      </c>
      <c r="X8" s="163">
        <f t="shared" ref="X8" si="3">+(X7-X5)/X5*100</f>
        <v>3.9632545931758476</v>
      </c>
      <c r="Y8" s="163">
        <f t="shared" ref="Y8" si="4">+(Y7-Y5)/Y5*100</f>
        <v>13.487221764220939</v>
      </c>
      <c r="Z8" s="163">
        <f t="shared" ref="Z8" si="5">+(Z7-Z5)/Z5*100</f>
        <v>-44.53125</v>
      </c>
      <c r="AA8" s="163">
        <f t="shared" ref="AA8" si="6">+(AA7-AA5)/AA5*100</f>
        <v>11.644305161100773</v>
      </c>
      <c r="AB8" s="163">
        <f t="shared" ref="AB8" si="7">+(AB7-AB5)/AB5*100</f>
        <v>10.373671044402752</v>
      </c>
      <c r="AD8" s="749" t="s">
        <v>71</v>
      </c>
    </row>
    <row r="9" spans="2:38" ht="16.149999999999999" customHeight="1" thickBot="1">
      <c r="B9" s="759"/>
      <c r="C9" s="345">
        <v>-9.06</v>
      </c>
      <c r="D9" s="345">
        <v>-10.72</v>
      </c>
      <c r="E9" s="345" t="s">
        <v>263</v>
      </c>
      <c r="F9" s="345">
        <v>-11.1</v>
      </c>
      <c r="G9" s="345">
        <v>-24.31</v>
      </c>
      <c r="H9" s="345">
        <v>-10.47</v>
      </c>
      <c r="I9" s="345">
        <v>-10.17</v>
      </c>
      <c r="J9" s="282"/>
      <c r="K9" s="749" t="s">
        <v>71</v>
      </c>
      <c r="L9" s="177">
        <v>24.896999999999998</v>
      </c>
      <c r="M9" s="177">
        <v>6.1130000000000004</v>
      </c>
      <c r="N9" s="178">
        <f>+L9+M9</f>
        <v>31.009999999999998</v>
      </c>
      <c r="O9" s="177">
        <v>24.896999999999998</v>
      </c>
      <c r="P9" s="177">
        <v>6.1130000000000004</v>
      </c>
      <c r="Q9" s="178">
        <f>+O9+P9</f>
        <v>31.009999999999998</v>
      </c>
      <c r="R9" s="35">
        <f t="shared" ref="R9:R34" si="8">+(Q9/N9)*100-100</f>
        <v>0</v>
      </c>
      <c r="T9" s="414" t="s">
        <v>9</v>
      </c>
      <c r="U9" s="3">
        <v>145.88</v>
      </c>
      <c r="V9" s="3">
        <v>7.93</v>
      </c>
      <c r="W9" s="3">
        <v>11.14</v>
      </c>
      <c r="X9" s="3">
        <v>80.58</v>
      </c>
      <c r="Y9" s="3">
        <v>64.63</v>
      </c>
      <c r="Z9" s="3">
        <v>4.93</v>
      </c>
      <c r="AA9" s="3">
        <v>148.69</v>
      </c>
      <c r="AB9" s="3">
        <v>463.78</v>
      </c>
      <c r="AD9" s="750"/>
    </row>
    <row r="10" spans="2:38" ht="15.75" thickBot="1">
      <c r="B10" s="757" t="s">
        <v>9</v>
      </c>
      <c r="C10" s="344">
        <v>227.08</v>
      </c>
      <c r="D10" s="344">
        <v>114.58</v>
      </c>
      <c r="E10" s="344">
        <v>16.39</v>
      </c>
      <c r="F10" s="344">
        <v>78.64</v>
      </c>
      <c r="G10" s="344">
        <v>25.88</v>
      </c>
      <c r="H10" s="344">
        <v>186.12</v>
      </c>
      <c r="I10" s="344">
        <v>648.70000000000005</v>
      </c>
      <c r="J10" s="282"/>
      <c r="K10" s="750"/>
      <c r="L10" s="159">
        <f>+L9/L$33%</f>
        <v>5.3905011821559397</v>
      </c>
      <c r="M10" s="159">
        <f>+M9/M$33%</f>
        <v>5.1167657152423205</v>
      </c>
      <c r="N10" s="159">
        <f>+N9/N$33%</f>
        <v>5.3342461700422135</v>
      </c>
      <c r="O10" s="159">
        <f>+O9/O$33%</f>
        <v>5.1792248532896199</v>
      </c>
      <c r="P10" s="159">
        <f t="shared" ref="P10:Q10" si="9">+P9/P$33%</f>
        <v>4.8838361242490089</v>
      </c>
      <c r="Q10" s="159">
        <f t="shared" si="9"/>
        <v>5.1182005588593071</v>
      </c>
      <c r="R10" s="35"/>
      <c r="T10" s="415"/>
      <c r="U10" s="163">
        <f>+(U9-U7)/U7*100</f>
        <v>2.6673235273418197</v>
      </c>
      <c r="V10" s="163">
        <f t="shared" ref="V10" si="10">+(V9-V7)/V7*100</f>
        <v>19.78851963746223</v>
      </c>
      <c r="W10" s="163">
        <f t="shared" ref="W10" si="11">+(W9-W7)/W7*100</f>
        <v>4.3071161048689222</v>
      </c>
      <c r="X10" s="163">
        <f t="shared" ref="X10" si="12">+(X9-X7)/X7*100</f>
        <v>1.7167381974248921</v>
      </c>
      <c r="Y10" s="163">
        <f t="shared" ref="Y10" si="13">+(Y9-Y7)/Y7*100</f>
        <v>-6.1019904111579297</v>
      </c>
      <c r="Z10" s="163">
        <f t="shared" ref="Z10" si="14">+(Z9-Z7)/Z7*100</f>
        <v>131.45539906103286</v>
      </c>
      <c r="AA10" s="163">
        <f t="shared" ref="AA10" si="15">+(AA9-AA7)/AA7*100</f>
        <v>30.429824561403507</v>
      </c>
      <c r="AB10" s="163">
        <f t="shared" ref="AB10" si="16">+(AB9-AB7)/AB7*100</f>
        <v>9.4931180206341299</v>
      </c>
      <c r="AD10" s="760" t="s">
        <v>72</v>
      </c>
    </row>
    <row r="11" spans="2:38" ht="15.75" thickBot="1">
      <c r="B11" s="759"/>
      <c r="C11" s="345">
        <v>7.21</v>
      </c>
      <c r="D11" s="345">
        <v>6.03</v>
      </c>
      <c r="E11" s="345">
        <v>13.27</v>
      </c>
      <c r="F11" s="345">
        <v>-4.5599999999999996</v>
      </c>
      <c r="G11" s="345">
        <v>12.96</v>
      </c>
      <c r="H11" s="345">
        <v>38.85</v>
      </c>
      <c r="I11" s="345">
        <v>13.08</v>
      </c>
      <c r="J11" s="282"/>
      <c r="K11" s="760" t="s">
        <v>72</v>
      </c>
      <c r="L11" s="177">
        <v>46.081000000000003</v>
      </c>
      <c r="M11" s="177">
        <v>24.93</v>
      </c>
      <c r="N11" s="178">
        <f>+L11+M11</f>
        <v>71.010999999999996</v>
      </c>
      <c r="O11" s="177">
        <v>47.442</v>
      </c>
      <c r="P11" s="177">
        <v>28.943999999999999</v>
      </c>
      <c r="Q11" s="178">
        <f>+O11+P11</f>
        <v>76.385999999999996</v>
      </c>
      <c r="R11" s="35">
        <f t="shared" si="8"/>
        <v>7.569249834532684</v>
      </c>
      <c r="T11" s="414" t="s">
        <v>10</v>
      </c>
      <c r="U11" s="3">
        <v>167.44</v>
      </c>
      <c r="V11" s="3">
        <v>11.87</v>
      </c>
      <c r="W11" s="3">
        <v>6.41</v>
      </c>
      <c r="X11" s="3">
        <v>92.3</v>
      </c>
      <c r="Y11" s="3">
        <v>68.67</v>
      </c>
      <c r="Z11" s="3">
        <v>2.99</v>
      </c>
      <c r="AA11" s="3">
        <v>169.65</v>
      </c>
      <c r="AB11" s="3">
        <v>519.30999999999995</v>
      </c>
      <c r="AD11" s="761"/>
    </row>
    <row r="12" spans="2:38" ht="15.75" thickBot="1">
      <c r="B12" s="400" t="s">
        <v>10</v>
      </c>
      <c r="C12" s="346">
        <v>257.93</v>
      </c>
      <c r="D12" s="346">
        <v>123.05</v>
      </c>
      <c r="E12" s="346">
        <v>17.989999999999998</v>
      </c>
      <c r="F12" s="346">
        <v>83.58</v>
      </c>
      <c r="G12" s="346">
        <v>25.01</v>
      </c>
      <c r="H12" s="346">
        <v>218.13</v>
      </c>
      <c r="I12" s="346">
        <v>725.69</v>
      </c>
      <c r="J12" s="282"/>
      <c r="K12" s="761"/>
      <c r="L12" s="159">
        <f>+L11/L$33%</f>
        <v>9.9770930222487806</v>
      </c>
      <c r="M12" s="159">
        <f>+M11/M$33%</f>
        <v>20.867163304595294</v>
      </c>
      <c r="N12" s="159">
        <f>+N11/N$33%</f>
        <v>12.215096897157936</v>
      </c>
      <c r="O12" s="159">
        <f>+O11/O$33%</f>
        <v>9.8691724099195159</v>
      </c>
      <c r="P12" s="159">
        <f t="shared" ref="P12:Q12" si="17">+P11/P$33%</f>
        <v>23.124121181132555</v>
      </c>
      <c r="Q12" s="159">
        <f t="shared" si="17"/>
        <v>12.607509444986359</v>
      </c>
      <c r="R12" s="35"/>
      <c r="T12" s="415"/>
      <c r="U12" s="163">
        <f>+(U11-U9)/U9*100</f>
        <v>14.779270633397315</v>
      </c>
      <c r="V12" s="163">
        <f t="shared" ref="V12" si="18">+(V11-V9)/V9*100</f>
        <v>49.684741488020173</v>
      </c>
      <c r="W12" s="163">
        <f t="shared" ref="W12" si="19">+(W11-W9)/W9*100</f>
        <v>-42.459605026929985</v>
      </c>
      <c r="X12" s="163">
        <f t="shared" ref="X12" si="20">+(X11-X9)/X9*100</f>
        <v>14.544551998014393</v>
      </c>
      <c r="Y12" s="163">
        <f t="shared" ref="Y12" si="21">+(Y11-Y9)/Y9*100</f>
        <v>6.2509670431688171</v>
      </c>
      <c r="Z12" s="163">
        <f t="shared" ref="Z12" si="22">+(Z11-Z9)/Z9*100</f>
        <v>-39.350912778904657</v>
      </c>
      <c r="AA12" s="163">
        <f t="shared" ref="AA12" si="23">+(AA11-AA9)/AA9*100</f>
        <v>14.096442262425185</v>
      </c>
      <c r="AB12" s="163">
        <f t="shared" ref="AB12" si="24">+(AB11-AB9)/AB9*100</f>
        <v>11.973349432920777</v>
      </c>
      <c r="AD12" s="760" t="s">
        <v>73</v>
      </c>
    </row>
    <row r="13" spans="2:38" ht="15.75" thickBot="1">
      <c r="B13" s="401"/>
      <c r="C13" s="345">
        <v>13.59</v>
      </c>
      <c r="D13" s="345">
        <v>7.39</v>
      </c>
      <c r="E13" s="345">
        <v>9.76</v>
      </c>
      <c r="F13" s="345">
        <v>6.28</v>
      </c>
      <c r="G13" s="345">
        <v>-3.36</v>
      </c>
      <c r="H13" s="345">
        <v>17.2</v>
      </c>
      <c r="I13" s="345">
        <v>11.87</v>
      </c>
      <c r="J13" s="282"/>
      <c r="K13" s="760" t="s">
        <v>73</v>
      </c>
      <c r="L13" s="177">
        <v>43.406999999999996</v>
      </c>
      <c r="M13" s="177">
        <v>14.597</v>
      </c>
      <c r="N13" s="178">
        <f>+L13+M13</f>
        <v>58.003999999999998</v>
      </c>
      <c r="O13" s="177">
        <v>42.323</v>
      </c>
      <c r="P13" s="177">
        <v>14.71</v>
      </c>
      <c r="Q13" s="178">
        <f>+O13+P13</f>
        <v>57.033000000000001</v>
      </c>
      <c r="R13" s="35">
        <f t="shared" si="8"/>
        <v>-1.6740224812081834</v>
      </c>
      <c r="T13" s="414" t="s">
        <v>11</v>
      </c>
      <c r="U13" s="3">
        <v>174.2</v>
      </c>
      <c r="V13" s="3">
        <v>12.17</v>
      </c>
      <c r="W13" s="3">
        <v>6.11</v>
      </c>
      <c r="X13" s="3">
        <v>92.67</v>
      </c>
      <c r="Y13" s="3">
        <v>76.930000000000007</v>
      </c>
      <c r="Z13" s="3">
        <v>2.4</v>
      </c>
      <c r="AA13" s="3">
        <v>166.33</v>
      </c>
      <c r="AB13" s="3">
        <v>530.79999999999995</v>
      </c>
      <c r="AD13" s="761"/>
    </row>
    <row r="14" spans="2:38" ht="15.75" thickBot="1">
      <c r="B14" s="757" t="s">
        <v>11</v>
      </c>
      <c r="C14" s="344">
        <v>272.02</v>
      </c>
      <c r="D14" s="344">
        <v>128.53</v>
      </c>
      <c r="E14" s="344">
        <v>14.66</v>
      </c>
      <c r="F14" s="344">
        <v>98.39</v>
      </c>
      <c r="G14" s="344">
        <v>26.85</v>
      </c>
      <c r="H14" s="344">
        <v>203.57</v>
      </c>
      <c r="I14" s="344">
        <v>744.02</v>
      </c>
      <c r="J14" s="282"/>
      <c r="K14" s="761"/>
      <c r="L14" s="159">
        <f>+L13/L$33%</f>
        <v>9.3981397282340389</v>
      </c>
      <c r="M14" s="159">
        <f>+M13/M$33%</f>
        <v>12.218130074495688</v>
      </c>
      <c r="N14" s="159">
        <f>+N13/N$33%</f>
        <v>9.9776721975855711</v>
      </c>
      <c r="O14" s="159">
        <f>+O13/O$33%</f>
        <v>8.8042870010754957</v>
      </c>
      <c r="P14" s="159">
        <f t="shared" ref="P14:Q14" si="25">+P13/P$33%</f>
        <v>11.752205036431036</v>
      </c>
      <c r="Q14" s="159">
        <f t="shared" si="25"/>
        <v>9.4132967582529137</v>
      </c>
      <c r="R14" s="35"/>
      <c r="T14" s="415"/>
      <c r="U14" s="163">
        <f>+(U13-U11)/U11*100</f>
        <v>4.0372670807453357</v>
      </c>
      <c r="V14" s="163">
        <f t="shared" ref="V14" si="26">+(V13-V11)/V11*100</f>
        <v>2.5273799494524072</v>
      </c>
      <c r="W14" s="163">
        <f t="shared" ref="W14" si="27">+(W13-W11)/W11*100</f>
        <v>-4.6801872074882969</v>
      </c>
      <c r="X14" s="163">
        <f t="shared" ref="X14" si="28">+(X13-X11)/X11*100</f>
        <v>0.40086673889491287</v>
      </c>
      <c r="Y14" s="163">
        <f t="shared" ref="Y14" si="29">+(Y13-Y11)/Y11*100</f>
        <v>12.028542303771669</v>
      </c>
      <c r="Z14" s="163">
        <f t="shared" ref="Z14" si="30">+(Z13-Z11)/Z11*100</f>
        <v>-19.732441471571917</v>
      </c>
      <c r="AA14" s="163">
        <f t="shared" ref="AA14" si="31">+(AA13-AA11)/AA11*100</f>
        <v>-1.9569702328322978</v>
      </c>
      <c r="AB14" s="163">
        <f t="shared" ref="AB14" si="32">+(AB13-AB11)/AB11*100</f>
        <v>2.2125512699543646</v>
      </c>
      <c r="AD14" s="760" t="s">
        <v>74</v>
      </c>
    </row>
    <row r="15" spans="2:38" ht="15.75" thickBot="1">
      <c r="B15" s="759"/>
      <c r="C15" s="345">
        <v>5.46</v>
      </c>
      <c r="D15" s="345">
        <v>4.45</v>
      </c>
      <c r="E15" s="345">
        <v>-18.510000000000002</v>
      </c>
      <c r="F15" s="345">
        <v>17.72</v>
      </c>
      <c r="G15" s="345">
        <v>7.36</v>
      </c>
      <c r="H15" s="345">
        <v>-6.67</v>
      </c>
      <c r="I15" s="345">
        <v>2.5299999999999998</v>
      </c>
      <c r="J15" s="282"/>
      <c r="K15" s="760" t="s">
        <v>74</v>
      </c>
      <c r="L15" s="177">
        <v>49.246000000000002</v>
      </c>
      <c r="M15" s="177">
        <v>3.2949999999999999</v>
      </c>
      <c r="N15" s="178">
        <f>+L15+M15</f>
        <v>52.541000000000004</v>
      </c>
      <c r="O15" s="177">
        <v>45.558999999999997</v>
      </c>
      <c r="P15" s="177">
        <v>4.4989999999999997</v>
      </c>
      <c r="Q15" s="178">
        <f>+O15+P15</f>
        <v>50.058</v>
      </c>
      <c r="R15" s="35">
        <f t="shared" si="8"/>
        <v>-4.725833158866422</v>
      </c>
      <c r="T15" s="414" t="s">
        <v>12</v>
      </c>
      <c r="U15" s="3">
        <v>174.86</v>
      </c>
      <c r="V15" s="3">
        <v>10.94</v>
      </c>
      <c r="W15" s="3">
        <v>6.79</v>
      </c>
      <c r="X15" s="3">
        <v>100.89</v>
      </c>
      <c r="Y15" s="3">
        <v>71.790000000000006</v>
      </c>
      <c r="Z15" s="3">
        <v>1.2</v>
      </c>
      <c r="AA15" s="3">
        <v>194.62</v>
      </c>
      <c r="AB15" s="3">
        <v>561.09</v>
      </c>
      <c r="AD15" s="761"/>
    </row>
    <row r="16" spans="2:38" ht="15.75" thickBot="1">
      <c r="B16" s="757" t="s">
        <v>12</v>
      </c>
      <c r="C16" s="344">
        <v>312.58</v>
      </c>
      <c r="D16" s="344">
        <v>149.71</v>
      </c>
      <c r="E16" s="344">
        <v>14.69</v>
      </c>
      <c r="F16" s="344">
        <v>113.06</v>
      </c>
      <c r="G16" s="344">
        <v>27.23</v>
      </c>
      <c r="H16" s="344">
        <v>232.76</v>
      </c>
      <c r="I16" s="344">
        <v>850.03</v>
      </c>
      <c r="J16" s="282"/>
      <c r="K16" s="761"/>
      <c r="L16" s="159">
        <f>+L15/L$33%</f>
        <v>10.662353746091958</v>
      </c>
      <c r="M16" s="159">
        <f>+M15/M$33%</f>
        <v>2.7580145643257721</v>
      </c>
      <c r="N16" s="159">
        <f>+N15/N$33%</f>
        <v>9.0379435027471118</v>
      </c>
      <c r="O16" s="159">
        <f>+O15/O$33%</f>
        <v>9.4774593361056283</v>
      </c>
      <c r="P16" s="159">
        <f t="shared" ref="P16:Q16" si="33">+P15/P$33%</f>
        <v>3.5943691678384244</v>
      </c>
      <c r="Q16" s="159">
        <f t="shared" si="33"/>
        <v>8.2620729950138401</v>
      </c>
      <c r="R16" s="35"/>
      <c r="T16" s="415"/>
      <c r="U16" s="163">
        <f>+(U15-U13)/U13*100</f>
        <v>0.37887485648681118</v>
      </c>
      <c r="V16" s="163">
        <f t="shared" ref="V16" si="34">+(V15-V13)/V13*100</f>
        <v>-10.106820049301565</v>
      </c>
      <c r="W16" s="163">
        <f t="shared" ref="W16" si="35">+(W15-W13)/W13*100</f>
        <v>11.12929623567921</v>
      </c>
      <c r="X16" s="163">
        <f t="shared" ref="X16" si="36">+(X15-X13)/X13*100</f>
        <v>8.870184525736482</v>
      </c>
      <c r="Y16" s="163">
        <f t="shared" ref="Y16" si="37">+(Y15-Y13)/Y13*100</f>
        <v>-6.681398674119329</v>
      </c>
      <c r="Z16" s="163">
        <f t="shared" ref="Z16" si="38">+(Z15-Z13)/Z13*100</f>
        <v>-50</v>
      </c>
      <c r="AA16" s="163">
        <f t="shared" ref="AA16" si="39">+(AA15-AA13)/AA13*100</f>
        <v>17.008356880899413</v>
      </c>
      <c r="AB16" s="163">
        <f t="shared" ref="AB16" si="40">+(AB15-AB13)/AB13*100</f>
        <v>5.7064807837226974</v>
      </c>
      <c r="AD16" s="760" t="s">
        <v>75</v>
      </c>
    </row>
    <row r="17" spans="2:30" ht="15.75" thickBot="1">
      <c r="B17" s="759"/>
      <c r="C17" s="345">
        <v>14.91</v>
      </c>
      <c r="D17" s="345">
        <v>16.48</v>
      </c>
      <c r="E17" s="345">
        <v>0.2</v>
      </c>
      <c r="F17" s="345">
        <v>14.91</v>
      </c>
      <c r="G17" s="345">
        <v>1.42</v>
      </c>
      <c r="H17" s="345">
        <v>14.34</v>
      </c>
      <c r="I17" s="345">
        <v>14.25</v>
      </c>
      <c r="J17" s="282"/>
      <c r="K17" s="760" t="s">
        <v>75</v>
      </c>
      <c r="L17" s="177">
        <v>16.507999999999999</v>
      </c>
      <c r="M17" s="177">
        <v>13.743</v>
      </c>
      <c r="N17" s="178">
        <f>+L17+M17</f>
        <v>30.250999999999998</v>
      </c>
      <c r="O17" s="177">
        <v>14.962999999999999</v>
      </c>
      <c r="P17" s="177">
        <v>17.242999999999999</v>
      </c>
      <c r="Q17" s="178">
        <f>+O17+P17</f>
        <v>32.205999999999996</v>
      </c>
      <c r="R17" s="35">
        <f t="shared" si="8"/>
        <v>6.4625962778089843</v>
      </c>
      <c r="T17" s="414" t="s">
        <v>13</v>
      </c>
      <c r="U17" s="3">
        <v>179.88</v>
      </c>
      <c r="V17" s="3">
        <v>12.37</v>
      </c>
      <c r="W17" s="3">
        <v>8.43</v>
      </c>
      <c r="X17" s="3">
        <v>87.69</v>
      </c>
      <c r="Y17" s="3">
        <v>75.150000000000006</v>
      </c>
      <c r="Z17" s="3">
        <v>1.92</v>
      </c>
      <c r="AA17" s="3">
        <v>204.65</v>
      </c>
      <c r="AB17" s="3">
        <v>570.09</v>
      </c>
      <c r="AD17" s="761"/>
    </row>
    <row r="18" spans="2:30" ht="15.75" thickBot="1">
      <c r="B18" s="757" t="s">
        <v>13</v>
      </c>
      <c r="C18" s="344">
        <v>325.26</v>
      </c>
      <c r="D18" s="344">
        <v>131.63999999999999</v>
      </c>
      <c r="E18" s="344">
        <v>13.08</v>
      </c>
      <c r="F18" s="344">
        <v>133.61000000000001</v>
      </c>
      <c r="G18" s="344">
        <v>38.97</v>
      </c>
      <c r="H18" s="344">
        <v>242.88</v>
      </c>
      <c r="I18" s="344">
        <v>885.44</v>
      </c>
      <c r="J18" s="282"/>
      <c r="K18" s="761"/>
      <c r="L18" s="159">
        <f>+L17/L$33%</f>
        <v>3.5741813678366974</v>
      </c>
      <c r="M18" s="159">
        <f>+M17/M$33%</f>
        <v>11.503306269356322</v>
      </c>
      <c r="N18" s="159">
        <f>+N17/N$33%</f>
        <v>5.2036852915171554</v>
      </c>
      <c r="O18" s="159">
        <f>+O17/O$33%</f>
        <v>3.1126939582990958</v>
      </c>
      <c r="P18" s="159">
        <f t="shared" ref="P18:Q18" si="41">+P17/P$33%</f>
        <v>13.775885210277385</v>
      </c>
      <c r="Q18" s="159">
        <f t="shared" si="41"/>
        <v>5.3156003611294045</v>
      </c>
      <c r="R18" s="35"/>
      <c r="T18" s="415"/>
      <c r="U18" s="163">
        <f>+(U17-U15)/U15*100</f>
        <v>2.8708681230698736</v>
      </c>
      <c r="V18" s="163">
        <f t="shared" ref="V18" si="42">+(V17-V15)/V15*100</f>
        <v>13.071297989031077</v>
      </c>
      <c r="W18" s="163">
        <f t="shared" ref="W18" si="43">+(W17-W15)/W15*100</f>
        <v>24.153166421207654</v>
      </c>
      <c r="X18" s="163">
        <f t="shared" ref="X18" si="44">+(X17-X15)/X15*100</f>
        <v>-13.083556348498368</v>
      </c>
      <c r="Y18" s="163">
        <f t="shared" ref="Y18" si="45">+(Y17-Y15)/Y15*100</f>
        <v>4.680317592979522</v>
      </c>
      <c r="Z18" s="163">
        <f t="shared" ref="Z18" si="46">+(Z17-Z15)/Z15*100</f>
        <v>60</v>
      </c>
      <c r="AA18" s="163">
        <f t="shared" ref="AA18" si="47">+(AA17-AA15)/AA15*100</f>
        <v>5.1536327201726451</v>
      </c>
      <c r="AB18" s="163">
        <f t="shared" ref="AB18" si="48">+(AB17-AB15)/AB15*100</f>
        <v>1.6040207453349731</v>
      </c>
      <c r="AD18" s="760" t="s">
        <v>76</v>
      </c>
    </row>
    <row r="19" spans="2:30" ht="15.75" thickBot="1">
      <c r="B19" s="759"/>
      <c r="C19" s="345">
        <v>4.0599999999999996</v>
      </c>
      <c r="D19" s="345">
        <v>-12.07</v>
      </c>
      <c r="E19" s="345">
        <v>-10.96</v>
      </c>
      <c r="F19" s="345">
        <v>18.18</v>
      </c>
      <c r="G19" s="345">
        <v>43.11</v>
      </c>
      <c r="H19" s="345">
        <v>4.3499999999999996</v>
      </c>
      <c r="I19" s="345">
        <v>4.17</v>
      </c>
      <c r="J19" s="282"/>
      <c r="K19" s="760" t="s">
        <v>76</v>
      </c>
      <c r="L19" s="177">
        <v>26.46</v>
      </c>
      <c r="M19" s="177">
        <v>5.9539999999999997</v>
      </c>
      <c r="N19" s="178">
        <f>+L19+M19</f>
        <v>32.414000000000001</v>
      </c>
      <c r="O19" s="177">
        <v>29.471</v>
      </c>
      <c r="P19" s="177">
        <v>7.327</v>
      </c>
      <c r="Q19" s="178">
        <f>+O19+P19</f>
        <v>36.798000000000002</v>
      </c>
      <c r="R19" s="35">
        <f t="shared" si="8"/>
        <v>13.525020053063486</v>
      </c>
      <c r="T19" s="414" t="s">
        <v>14</v>
      </c>
      <c r="U19" s="3">
        <v>173.85</v>
      </c>
      <c r="V19" s="3">
        <v>12.22</v>
      </c>
      <c r="W19" s="3">
        <v>8.18</v>
      </c>
      <c r="X19" s="3">
        <v>60.72</v>
      </c>
      <c r="Y19" s="3">
        <v>78.78</v>
      </c>
      <c r="Z19" s="3">
        <v>3.28</v>
      </c>
      <c r="AA19" s="3">
        <v>223.16</v>
      </c>
      <c r="AB19" s="3">
        <v>560.19000000000005</v>
      </c>
      <c r="AD19" s="761"/>
    </row>
    <row r="20" spans="2:30" ht="15.75" thickBot="1">
      <c r="B20" s="757" t="s">
        <v>14</v>
      </c>
      <c r="C20" s="344">
        <v>330.16</v>
      </c>
      <c r="D20" s="344">
        <v>91.34</v>
      </c>
      <c r="E20" s="344">
        <v>14.37</v>
      </c>
      <c r="F20" s="344">
        <v>157.82</v>
      </c>
      <c r="G20" s="344">
        <v>36.14</v>
      </c>
      <c r="H20" s="347">
        <v>284.10000000000002</v>
      </c>
      <c r="I20" s="344">
        <v>913.93</v>
      </c>
      <c r="J20" s="282"/>
      <c r="K20" s="761"/>
      <c r="L20" s="159">
        <f>+L19/L$33%</f>
        <v>5.728909558575177</v>
      </c>
      <c r="M20" s="159">
        <f>+M19/M$33%</f>
        <v>4.9836779107725784</v>
      </c>
      <c r="N20" s="159">
        <f>+N19/N$33%</f>
        <v>5.5757579927684073</v>
      </c>
      <c r="O20" s="159">
        <f>+O19/O$33%</f>
        <v>6.1307360586134232</v>
      </c>
      <c r="P20" s="159">
        <f t="shared" ref="P20:Q20" si="49">+P19/P$33%</f>
        <v>5.8537325834078988</v>
      </c>
      <c r="Q20" s="159">
        <f t="shared" si="49"/>
        <v>6.0735099698453663</v>
      </c>
      <c r="R20" s="35"/>
      <c r="T20" s="415"/>
      <c r="U20" s="163">
        <f>+(U19-U17)/U17*100</f>
        <v>-3.3522348232154773</v>
      </c>
      <c r="V20" s="163">
        <f t="shared" ref="V20" si="50">+(V19-V17)/V17*100</f>
        <v>-1.212611156022624</v>
      </c>
      <c r="W20" s="163">
        <f t="shared" ref="W20" si="51">+(W19-W17)/W17*100</f>
        <v>-2.9655990510083039</v>
      </c>
      <c r="X20" s="163">
        <f t="shared" ref="X20" si="52">+(X19-X17)/X17*100</f>
        <v>-30.756072528224426</v>
      </c>
      <c r="Y20" s="163">
        <f t="shared" ref="Y20" si="53">+(Y19-Y17)/Y17*100</f>
        <v>4.8303393213572789</v>
      </c>
      <c r="Z20" s="163">
        <f t="shared" ref="Z20" si="54">+(Z19-Z17)/Z17*100</f>
        <v>70.833333333333329</v>
      </c>
      <c r="AA20" s="163">
        <f t="shared" ref="AA20" si="55">+(AA19-AA17)/AA17*100</f>
        <v>9.0447104813095471</v>
      </c>
      <c r="AB20" s="163">
        <f t="shared" ref="AB20" si="56">+(AB19-AB17)/AB17*100</f>
        <v>-1.7365679103299436</v>
      </c>
      <c r="AD20" s="760" t="s">
        <v>77</v>
      </c>
    </row>
    <row r="21" spans="2:30" ht="15.75" thickBot="1">
      <c r="B21" s="759"/>
      <c r="C21" s="345">
        <v>1.51</v>
      </c>
      <c r="D21" s="345">
        <v>-30.61</v>
      </c>
      <c r="E21" s="345">
        <v>9.86</v>
      </c>
      <c r="F21" s="345">
        <v>18.12</v>
      </c>
      <c r="G21" s="345">
        <v>-7.26</v>
      </c>
      <c r="H21" s="345">
        <v>16.97</v>
      </c>
      <c r="I21" s="345">
        <v>3.22</v>
      </c>
      <c r="J21" s="282"/>
      <c r="K21" s="760" t="s">
        <v>77</v>
      </c>
      <c r="L21" s="177">
        <v>14.733000000000001</v>
      </c>
      <c r="M21" s="177">
        <v>6.8620000000000001</v>
      </c>
      <c r="N21" s="178">
        <f>+L21+M21</f>
        <v>21.594999999999999</v>
      </c>
      <c r="O21" s="177">
        <v>14.766999999999999</v>
      </c>
      <c r="P21" s="177">
        <v>7.327</v>
      </c>
      <c r="Q21" s="178">
        <f>+O21+P21</f>
        <v>22.094000000000001</v>
      </c>
      <c r="R21" s="35">
        <f t="shared" si="8"/>
        <v>2.3107200740912361</v>
      </c>
      <c r="T21" s="414" t="s">
        <v>15</v>
      </c>
      <c r="U21" s="3">
        <v>180.73</v>
      </c>
      <c r="V21" s="3">
        <v>7.47</v>
      </c>
      <c r="W21" s="3">
        <v>7.33</v>
      </c>
      <c r="X21" s="3">
        <v>27.29</v>
      </c>
      <c r="Y21" s="3">
        <v>86.8</v>
      </c>
      <c r="Z21" s="3">
        <v>6.6</v>
      </c>
      <c r="AA21" s="3">
        <v>229.61</v>
      </c>
      <c r="AB21" s="3">
        <v>545.83000000000004</v>
      </c>
      <c r="AD21" s="761"/>
    </row>
    <row r="22" spans="2:30" ht="15.75" thickBot="1">
      <c r="B22" s="757" t="s">
        <v>15</v>
      </c>
      <c r="C22" s="346">
        <v>349.3</v>
      </c>
      <c r="D22" s="346">
        <v>49.15</v>
      </c>
      <c r="E22" s="346">
        <v>11.95</v>
      </c>
      <c r="F22" s="346">
        <v>196.06</v>
      </c>
      <c r="G22" s="346">
        <v>27.35</v>
      </c>
      <c r="H22" s="346">
        <v>299.95</v>
      </c>
      <c r="I22" s="346">
        <v>933.75</v>
      </c>
      <c r="J22" s="282"/>
      <c r="K22" s="761"/>
      <c r="L22" s="159">
        <f>+L21/L$33%</f>
        <v>3.1898724310842059</v>
      </c>
      <c r="M22" s="159">
        <f>+M21/M$33%</f>
        <v>5.7437013476186483</v>
      </c>
      <c r="N22" s="159">
        <f>+N21/N$33%</f>
        <v>3.7147064186411347</v>
      </c>
      <c r="O22" s="159">
        <f>+O21/O$33%</f>
        <v>3.0719208502441187</v>
      </c>
      <c r="P22" s="159">
        <f t="shared" ref="P22:Q22" si="57">+P21/P$33%</f>
        <v>5.8537325834078988</v>
      </c>
      <c r="Q22" s="159">
        <f t="shared" si="57"/>
        <v>3.6466147419360704</v>
      </c>
      <c r="R22" s="35"/>
      <c r="T22" s="407"/>
      <c r="U22" s="163">
        <f>+(U21-U19)/U19*100</f>
        <v>3.9574345700316336</v>
      </c>
      <c r="V22" s="163">
        <f t="shared" ref="V22" si="58">+(V21-V19)/V19*100</f>
        <v>-38.870703764320794</v>
      </c>
      <c r="W22" s="163">
        <f t="shared" ref="W22" si="59">+(W21-W19)/W19*100</f>
        <v>-10.391198044009776</v>
      </c>
      <c r="X22" s="163">
        <f t="shared" ref="X22" si="60">+(X21-X19)/X19*100</f>
        <v>-55.055994729907773</v>
      </c>
      <c r="Y22" s="163">
        <f t="shared" ref="Y22" si="61">+(Y21-Y19)/Y19*100</f>
        <v>10.180248794110176</v>
      </c>
      <c r="Z22" s="163">
        <f t="shared" ref="Z22" si="62">+(Z21-Z19)/Z19*100</f>
        <v>101.21951219512195</v>
      </c>
      <c r="AA22" s="163">
        <f t="shared" ref="AA22" si="63">+(AA21-AA19)/AA19*100</f>
        <v>2.8903029216705582</v>
      </c>
      <c r="AB22" s="163">
        <f t="shared" ref="AB22" si="64">+(AB21-AB19)/AB19*100</f>
        <v>-2.5634159838626203</v>
      </c>
      <c r="AD22" s="760" t="s">
        <v>78</v>
      </c>
    </row>
    <row r="23" spans="2:30" ht="18" customHeight="1" thickBot="1">
      <c r="B23" s="759"/>
      <c r="C23" s="345">
        <v>5.8</v>
      </c>
      <c r="D23" s="345">
        <v>-46.19</v>
      </c>
      <c r="E23" s="345">
        <v>-16.84</v>
      </c>
      <c r="F23" s="345">
        <v>24.23</v>
      </c>
      <c r="G23" s="345">
        <v>-24.32</v>
      </c>
      <c r="H23" s="345">
        <v>5.58</v>
      </c>
      <c r="I23" s="345">
        <v>2.17</v>
      </c>
      <c r="J23" s="282"/>
      <c r="K23" s="760" t="s">
        <v>78</v>
      </c>
      <c r="L23" s="177">
        <v>31.667999999999999</v>
      </c>
      <c r="M23" s="177">
        <v>4.8979999999999997</v>
      </c>
      <c r="N23" s="178">
        <f>+L23+M23</f>
        <v>36.566000000000003</v>
      </c>
      <c r="O23" s="177">
        <v>30.434999999999999</v>
      </c>
      <c r="P23" s="177">
        <v>5.1470000000000002</v>
      </c>
      <c r="Q23" s="178">
        <f>+O23+P23</f>
        <v>35.582000000000001</v>
      </c>
      <c r="R23" s="35">
        <f t="shared" si="8"/>
        <v>-2.6910244489416471</v>
      </c>
      <c r="T23" s="406" t="s">
        <v>64</v>
      </c>
      <c r="U23" s="179">
        <v>181.06</v>
      </c>
      <c r="V23" s="179">
        <v>6.15</v>
      </c>
      <c r="W23" s="179">
        <v>7.64</v>
      </c>
      <c r="X23" s="179">
        <v>24.62</v>
      </c>
      <c r="Y23" s="179">
        <v>104.27</v>
      </c>
      <c r="Z23" s="179">
        <v>4.79</v>
      </c>
      <c r="AA23" s="179">
        <v>226.96</v>
      </c>
      <c r="AB23" s="162">
        <v>555.49</v>
      </c>
      <c r="AD23" s="761"/>
    </row>
    <row r="24" spans="2:30" ht="15.75" thickBot="1">
      <c r="B24" s="757" t="s">
        <v>64</v>
      </c>
      <c r="C24" s="346">
        <v>356.94</v>
      </c>
      <c r="D24" s="346">
        <v>43.1</v>
      </c>
      <c r="E24" s="346">
        <v>14.18</v>
      </c>
      <c r="F24" s="346">
        <v>230.84</v>
      </c>
      <c r="G24" s="346">
        <v>25.71</v>
      </c>
      <c r="H24" s="346">
        <v>301.69</v>
      </c>
      <c r="I24" s="346">
        <v>972.46</v>
      </c>
      <c r="J24" s="282"/>
      <c r="K24" s="761"/>
      <c r="L24" s="159">
        <f>+L23/L$33%</f>
        <v>6.8565044558185448</v>
      </c>
      <c r="M24" s="159">
        <f>+M23/M$33%</f>
        <v>4.0997740018414657</v>
      </c>
      <c r="N24" s="159">
        <f>+N23/N$33%</f>
        <v>6.2899724428817665</v>
      </c>
      <c r="O24" s="159">
        <f>+O23/O$33%</f>
        <v>6.3312731819042289</v>
      </c>
      <c r="P24" s="159">
        <f t="shared" ref="P24:Q24" si="65">+P23/P$33%</f>
        <v>4.1120733733861687</v>
      </c>
      <c r="Q24" s="159">
        <f t="shared" si="65"/>
        <v>5.8728091675373069</v>
      </c>
      <c r="R24" s="35"/>
      <c r="T24" s="415"/>
      <c r="U24" s="163">
        <f>+(U23-U21)/U21*100</f>
        <v>0.18259281801583163</v>
      </c>
      <c r="V24" s="163">
        <f t="shared" ref="V24:V28" si="66">+(V23-V21)/V21*100</f>
        <v>-17.670682730923687</v>
      </c>
      <c r="W24" s="163">
        <f t="shared" ref="W24:W28" si="67">+(W23-W21)/W21*100</f>
        <v>4.2291950886766658</v>
      </c>
      <c r="X24" s="163">
        <f t="shared" ref="X24:X28" si="68">+(X23-X21)/X21*100</f>
        <v>-9.7838035910589891</v>
      </c>
      <c r="Y24" s="163">
        <f t="shared" ref="Y24:Y28" si="69">+(Y23-Y21)/Y21*100</f>
        <v>20.126728110599075</v>
      </c>
      <c r="Z24" s="163">
        <f t="shared" ref="Z24:Z28" si="70">+(Z23-Z21)/Z21*100</f>
        <v>-27.424242424242419</v>
      </c>
      <c r="AA24" s="163">
        <f t="shared" ref="AA24:AA28" si="71">+(AA23-AA21)/AA21*100</f>
        <v>-1.1541309176429622</v>
      </c>
      <c r="AB24" s="163">
        <f t="shared" ref="AB24:AB28" si="72">+(AB23-AB21)/AB21*100</f>
        <v>1.7697818001941936</v>
      </c>
      <c r="AD24" s="760" t="s">
        <v>79</v>
      </c>
    </row>
    <row r="25" spans="2:30" ht="15.75" thickBot="1">
      <c r="B25" s="759"/>
      <c r="C25" s="345">
        <v>2.2000000000000002</v>
      </c>
      <c r="D25" s="345">
        <v>-12.3</v>
      </c>
      <c r="E25" s="345">
        <v>18.600000000000001</v>
      </c>
      <c r="F25" s="345">
        <v>17.7</v>
      </c>
      <c r="G25" s="345">
        <v>-6</v>
      </c>
      <c r="H25" s="345">
        <v>0.6</v>
      </c>
      <c r="I25" s="345">
        <v>4.1500000000000004</v>
      </c>
      <c r="J25" s="282"/>
      <c r="K25" s="760" t="s">
        <v>79</v>
      </c>
      <c r="L25" s="177">
        <v>13.491</v>
      </c>
      <c r="M25" s="177">
        <v>1.22</v>
      </c>
      <c r="N25" s="178">
        <f>+L25+M25</f>
        <v>14.711</v>
      </c>
      <c r="O25" s="177">
        <v>19.675000000000001</v>
      </c>
      <c r="P25" s="177">
        <v>1.101</v>
      </c>
      <c r="Q25" s="178">
        <f>+O25+P25</f>
        <v>20.776</v>
      </c>
      <c r="R25" s="35">
        <f t="shared" si="8"/>
        <v>41.227652776833679</v>
      </c>
      <c r="T25" s="504" t="s">
        <v>198</v>
      </c>
      <c r="U25" s="136">
        <v>181.02</v>
      </c>
      <c r="V25" s="136">
        <v>7.9260000000000002</v>
      </c>
      <c r="W25" s="136">
        <v>8.36</v>
      </c>
      <c r="X25" s="136">
        <v>18.001999999999999</v>
      </c>
      <c r="Y25" s="136">
        <v>119.474</v>
      </c>
      <c r="Z25" s="136">
        <v>3.089</v>
      </c>
      <c r="AA25" s="136">
        <v>243.46</v>
      </c>
      <c r="AB25" s="136">
        <v>581.33399999999995</v>
      </c>
      <c r="AD25" s="789"/>
    </row>
    <row r="26" spans="2:30" ht="15.75" thickBot="1">
      <c r="B26" s="791" t="s">
        <v>198</v>
      </c>
      <c r="C26" s="348">
        <f>166.657+167.278</f>
        <v>333.935</v>
      </c>
      <c r="D26" s="348">
        <f>16.227+26.794</f>
        <v>43.021000000000001</v>
      </c>
      <c r="E26" s="348">
        <v>14.224</v>
      </c>
      <c r="F26" s="348">
        <f>118.36+156.737</f>
        <v>275.09699999999998</v>
      </c>
      <c r="G26" s="348">
        <f>7.935+8.463+13.952</f>
        <v>30.35</v>
      </c>
      <c r="H26" s="348">
        <f>3.084+91.903+260.608</f>
        <v>355.59500000000003</v>
      </c>
      <c r="I26" s="348">
        <f>SUM(C26:H26)</f>
        <v>1052.2220000000002</v>
      </c>
      <c r="J26" s="282"/>
      <c r="K26" s="789"/>
      <c r="L26" s="159">
        <f>+L25/L$33%</f>
        <v>2.9209644313959831</v>
      </c>
      <c r="M26" s="159">
        <f>+M25/M$33%</f>
        <v>1.0211768644848078</v>
      </c>
      <c r="N26" s="159">
        <f>+N25/N$33%</f>
        <v>2.5305416126246696</v>
      </c>
      <c r="O26" s="159">
        <f>+O25/O$33%</f>
        <v>4.092912760110587</v>
      </c>
      <c r="P26" s="159">
        <f t="shared" ref="P26:Q26" si="73">+P25/P$33%</f>
        <v>0.87961779368528692</v>
      </c>
      <c r="Q26" s="159">
        <f t="shared" si="73"/>
        <v>3.4290788394344069</v>
      </c>
      <c r="R26" s="35"/>
      <c r="T26" s="762"/>
      <c r="U26" s="163">
        <f>+(U25-U23)/U23*100</f>
        <v>-2.2092124157733373E-2</v>
      </c>
      <c r="V26" s="163">
        <f t="shared" si="66"/>
        <v>28.878048780487799</v>
      </c>
      <c r="W26" s="163">
        <f t="shared" si="67"/>
        <v>9.4240837696335049</v>
      </c>
      <c r="X26" s="163">
        <f t="shared" si="68"/>
        <v>-26.880584890333068</v>
      </c>
      <c r="Y26" s="163">
        <f t="shared" si="69"/>
        <v>14.581375275726488</v>
      </c>
      <c r="Z26" s="163">
        <f t="shared" si="70"/>
        <v>-35.511482254697285</v>
      </c>
      <c r="AA26" s="163">
        <f t="shared" si="71"/>
        <v>7.2700035248501935</v>
      </c>
      <c r="AB26" s="163">
        <f t="shared" si="72"/>
        <v>4.6524689913409665</v>
      </c>
      <c r="AD26" s="763" t="s">
        <v>80</v>
      </c>
    </row>
    <row r="27" spans="2:30" ht="15.75" thickBot="1">
      <c r="B27" s="792"/>
      <c r="C27" s="350">
        <f>+(C26-C24)/C24*100</f>
        <v>-6.445060794531293</v>
      </c>
      <c r="D27" s="350">
        <f t="shared" ref="D27:I27" si="74">+(D26-D24)/D24*100</f>
        <v>-0.1832946635730873</v>
      </c>
      <c r="E27" s="350">
        <f t="shared" si="74"/>
        <v>0.31029619181946744</v>
      </c>
      <c r="F27" s="350">
        <f t="shared" si="74"/>
        <v>19.172153872812327</v>
      </c>
      <c r="G27" s="350">
        <f t="shared" si="74"/>
        <v>18.047452353169973</v>
      </c>
      <c r="H27" s="350">
        <f t="shared" si="74"/>
        <v>17.867678743080656</v>
      </c>
      <c r="I27" s="350">
        <f t="shared" si="74"/>
        <v>8.2020854328198762</v>
      </c>
      <c r="J27" s="282"/>
      <c r="K27" s="763" t="s">
        <v>80</v>
      </c>
      <c r="L27" s="177">
        <v>60.468000000000004</v>
      </c>
      <c r="M27" s="177">
        <v>3.3330000000000002</v>
      </c>
      <c r="N27" s="178">
        <f>+L27+M27</f>
        <v>63.801000000000002</v>
      </c>
      <c r="O27" s="177">
        <v>60.347999999999999</v>
      </c>
      <c r="P27" s="177">
        <v>3.6789999999999998</v>
      </c>
      <c r="Q27" s="178">
        <f>+O27+P27</f>
        <v>64.027000000000001</v>
      </c>
      <c r="R27" s="35">
        <f t="shared" si="8"/>
        <v>0.35422642278332717</v>
      </c>
      <c r="T27" s="504" t="s">
        <v>268</v>
      </c>
      <c r="U27" s="136">
        <v>186.36</v>
      </c>
      <c r="V27" s="136">
        <v>8.4930000000000003</v>
      </c>
      <c r="W27" s="136">
        <v>7.53</v>
      </c>
      <c r="X27" s="136">
        <v>15.315</v>
      </c>
      <c r="Y27" s="136">
        <v>134.05600000000001</v>
      </c>
      <c r="Z27" s="136">
        <v>2.3730000000000002</v>
      </c>
      <c r="AA27" s="136">
        <v>251.76</v>
      </c>
      <c r="AB27" s="136">
        <v>605.89</v>
      </c>
      <c r="AC27" s="214"/>
      <c r="AD27" s="764"/>
    </row>
    <row r="28" spans="2:30" ht="15.75" thickBot="1">
      <c r="B28" s="791" t="s">
        <v>268</v>
      </c>
      <c r="C28" s="348">
        <f>186.36+180.641</f>
        <v>367.00099999999998</v>
      </c>
      <c r="D28" s="348">
        <f>15.315+17.383</f>
        <v>32.698</v>
      </c>
      <c r="E28" s="348">
        <v>14.173</v>
      </c>
      <c r="F28" s="348">
        <f>134.056+141.874</f>
        <v>275.93</v>
      </c>
      <c r="G28" s="348">
        <f>8.493+7.53+16.946</f>
        <v>32.969000000000001</v>
      </c>
      <c r="H28" s="420">
        <f>3.084+91.903+260.608</f>
        <v>355.59500000000003</v>
      </c>
      <c r="I28" s="348">
        <f>SUM(C28:H28)</f>
        <v>1078.366</v>
      </c>
      <c r="J28" s="349"/>
      <c r="K28" s="764"/>
      <c r="L28" s="159">
        <f>+L27/L$33%</f>
        <v>13.092052274675881</v>
      </c>
      <c r="M28" s="159">
        <f>+M27/M$33%</f>
        <v>2.7898217125638234</v>
      </c>
      <c r="N28" s="159">
        <f>+N27/N$33%</f>
        <v>10.974854559653766</v>
      </c>
      <c r="O28" s="159">
        <f>+O27/O$33%</f>
        <v>12.553956759702857</v>
      </c>
      <c r="P28" s="159">
        <f t="shared" ref="P28:Q28" si="75">+P27/P$33%</f>
        <v>2.9392496484724524</v>
      </c>
      <c r="Q28" s="159">
        <f t="shared" si="75"/>
        <v>10.567656471528052</v>
      </c>
      <c r="R28" s="35"/>
      <c r="T28" s="762"/>
      <c r="U28" s="163">
        <f>+(U27-U25)/U25*100</f>
        <v>2.9499502817368262</v>
      </c>
      <c r="V28" s="163">
        <f t="shared" si="66"/>
        <v>7.153671461014385</v>
      </c>
      <c r="W28" s="163">
        <f t="shared" si="67"/>
        <v>-9.9282296650717612</v>
      </c>
      <c r="X28" s="163">
        <f t="shared" si="68"/>
        <v>-14.926119320075545</v>
      </c>
      <c r="Y28" s="163">
        <f t="shared" si="69"/>
        <v>12.205165977534866</v>
      </c>
      <c r="Z28" s="163">
        <f t="shared" si="70"/>
        <v>-23.179022337325989</v>
      </c>
      <c r="AA28" s="163">
        <f t="shared" si="71"/>
        <v>3.4091842602480824</v>
      </c>
      <c r="AB28" s="163">
        <f t="shared" si="72"/>
        <v>4.224077724681516</v>
      </c>
      <c r="AD28" s="789" t="s">
        <v>81</v>
      </c>
    </row>
    <row r="29" spans="2:30" ht="15.75" thickBot="1">
      <c r="B29" s="792"/>
      <c r="C29" s="350">
        <f>+(C28-C26)/C26*100</f>
        <v>9.9019270217257773</v>
      </c>
      <c r="D29" s="350">
        <f t="shared" ref="D29:I29" si="76">+(D28-D26)/D26*100</f>
        <v>-23.995258129750589</v>
      </c>
      <c r="E29" s="350">
        <f t="shared" si="76"/>
        <v>-0.35854893138357813</v>
      </c>
      <c r="F29" s="350">
        <f t="shared" si="76"/>
        <v>0.30280228428518918</v>
      </c>
      <c r="G29" s="350">
        <f t="shared" si="76"/>
        <v>8.6293245469522226</v>
      </c>
      <c r="H29" s="350">
        <f t="shared" si="76"/>
        <v>0</v>
      </c>
      <c r="I29" s="350">
        <f t="shared" si="76"/>
        <v>2.4846467760605435</v>
      </c>
      <c r="J29" s="349"/>
      <c r="K29" s="789" t="s">
        <v>81</v>
      </c>
      <c r="L29" s="157">
        <v>37.700000000000003</v>
      </c>
      <c r="M29" s="157">
        <v>23.96</v>
      </c>
      <c r="N29" s="158">
        <f>+L29+M29</f>
        <v>61.660000000000004</v>
      </c>
      <c r="O29" s="157">
        <v>41.936</v>
      </c>
      <c r="P29" s="157">
        <v>19.183</v>
      </c>
      <c r="Q29" s="158">
        <f>+O29+P29</f>
        <v>61.119</v>
      </c>
      <c r="R29" s="35">
        <f t="shared" si="8"/>
        <v>-0.87739215050277153</v>
      </c>
      <c r="T29" s="783" t="s">
        <v>286</v>
      </c>
      <c r="U29" s="784"/>
      <c r="V29" s="784"/>
      <c r="W29" s="784"/>
      <c r="X29" s="784"/>
      <c r="Y29" s="784"/>
      <c r="Z29" s="784"/>
      <c r="AA29" s="784"/>
      <c r="AB29" s="785"/>
      <c r="AD29" s="761"/>
    </row>
    <row r="30" spans="2:30" ht="16.149999999999999" customHeight="1" thickBot="1">
      <c r="B30" s="775" t="s">
        <v>65</v>
      </c>
      <c r="C30" s="776"/>
      <c r="D30" s="776"/>
      <c r="E30" s="776"/>
      <c r="F30" s="776"/>
      <c r="G30" s="776"/>
      <c r="H30" s="776"/>
      <c r="I30" s="777"/>
      <c r="J30" s="282"/>
      <c r="K30" s="761"/>
      <c r="L30" s="159">
        <f>+L29/L$33%</f>
        <v>8.1625053045458884</v>
      </c>
      <c r="M30" s="159">
        <f>+M29/M$33%</f>
        <v>20.055243994308192</v>
      </c>
      <c r="N30" s="159">
        <f>+N29/N$33%</f>
        <v>10.606566231693096</v>
      </c>
      <c r="O30" s="159">
        <f>+O29/O$33%</f>
        <v>8.7237809152730659</v>
      </c>
      <c r="P30" s="159">
        <f t="shared" ref="P30:Q30" si="77">+P29/P$33%</f>
        <v>15.325802121948101</v>
      </c>
      <c r="Q30" s="159">
        <f t="shared" si="77"/>
        <v>10.087691066008448</v>
      </c>
      <c r="R30" s="35"/>
      <c r="AD30" s="760" t="s">
        <v>82</v>
      </c>
    </row>
    <row r="31" spans="2:30" ht="15.75" thickBot="1">
      <c r="B31" s="778"/>
      <c r="C31" s="779"/>
      <c r="D31" s="779"/>
      <c r="E31" s="779"/>
      <c r="F31" s="779"/>
      <c r="G31" s="779"/>
      <c r="H31" s="779"/>
      <c r="I31" s="780"/>
      <c r="J31" s="282"/>
      <c r="K31" s="760" t="s">
        <v>82</v>
      </c>
      <c r="L31" s="177">
        <v>83.295000000000002</v>
      </c>
      <c r="M31" s="177">
        <v>9.202</v>
      </c>
      <c r="N31" s="178">
        <f>+L31+M31</f>
        <v>92.497</v>
      </c>
      <c r="O31" s="177">
        <v>90.808000000000007</v>
      </c>
      <c r="P31" s="177">
        <v>8.65</v>
      </c>
      <c r="Q31" s="178">
        <f>+O31+P31</f>
        <v>99.458000000000013</v>
      </c>
      <c r="R31" s="35">
        <f t="shared" si="8"/>
        <v>7.5256494805236969</v>
      </c>
      <c r="AD31" s="761"/>
    </row>
    <row r="32" spans="2:30" ht="15.75" thickBot="1">
      <c r="B32" s="282"/>
      <c r="C32" s="282"/>
      <c r="D32" s="282"/>
      <c r="E32" s="282"/>
      <c r="F32" s="282"/>
      <c r="G32" s="282"/>
      <c r="H32" s="282"/>
      <c r="I32" s="282">
        <f>605.877+465.871</f>
        <v>1071.748</v>
      </c>
      <c r="J32" s="282"/>
      <c r="K32" s="761"/>
      <c r="L32" s="159">
        <f>+L31/L$33%</f>
        <v>18.03437345735145</v>
      </c>
      <c r="M32" s="159">
        <f>+M31/M$33%</f>
        <v>7.7023520549091815</v>
      </c>
      <c r="N32" s="159">
        <f>+N31/N$33%</f>
        <v>15.911053466313918</v>
      </c>
      <c r="O32" s="159">
        <f>+O31/O$33%</f>
        <v>18.890430593144711</v>
      </c>
      <c r="P32" s="159">
        <f t="shared" ref="P32:Q32" si="78">+P31/P$33%</f>
        <v>6.9107120030678759</v>
      </c>
      <c r="Q32" s="159">
        <f t="shared" si="78"/>
        <v>16.415543088778751</v>
      </c>
      <c r="R32" s="35"/>
      <c r="AD32" s="790" t="s">
        <v>5</v>
      </c>
    </row>
    <row r="33" spans="2:36" ht="15.75" thickBot="1">
      <c r="B33" s="282"/>
      <c r="C33" s="351">
        <f>166.657+167.278</f>
        <v>333.935</v>
      </c>
      <c r="D33" s="352">
        <f>16.227+26.794</f>
        <v>43.021000000000001</v>
      </c>
      <c r="E33" s="352">
        <v>14.224</v>
      </c>
      <c r="F33" s="352">
        <f>118.36+156.737</f>
        <v>275.09699999999998</v>
      </c>
      <c r="G33" s="352">
        <f>7.935+8.463+13.952</f>
        <v>30.35</v>
      </c>
      <c r="H33" s="352">
        <f>3.084+91.903+260.608</f>
        <v>355.59500000000003</v>
      </c>
      <c r="I33" s="352">
        <f>SUM(C33:H33)</f>
        <v>1052.2220000000002</v>
      </c>
      <c r="J33" s="282"/>
      <c r="K33" s="790" t="s">
        <v>5</v>
      </c>
      <c r="L33" s="177">
        <v>461.86799999999999</v>
      </c>
      <c r="M33" s="177">
        <v>119.47</v>
      </c>
      <c r="N33" s="177">
        <f>+L33+M33</f>
        <v>581.33799999999997</v>
      </c>
      <c r="O33" s="177">
        <v>480.709</v>
      </c>
      <c r="P33" s="177">
        <v>125.16800000000001</v>
      </c>
      <c r="Q33" s="177">
        <f>+O33+P33</f>
        <v>605.87699999999995</v>
      </c>
      <c r="R33" s="35">
        <f t="shared" si="8"/>
        <v>4.2211243717080293</v>
      </c>
      <c r="U33" s="35"/>
      <c r="V33" s="35"/>
      <c r="W33" s="35"/>
      <c r="X33" s="35"/>
      <c r="Y33" s="35"/>
      <c r="Z33" s="35"/>
      <c r="AA33" s="35"/>
      <c r="AB33" s="35"/>
      <c r="AD33" s="771"/>
    </row>
    <row r="34" spans="2:36" ht="15.75" thickBot="1">
      <c r="B34" s="282"/>
      <c r="C34" s="352">
        <f>+(C28-C26)/C26*100</f>
        <v>9.9019270217257773</v>
      </c>
      <c r="D34" s="352">
        <f t="shared" ref="D34:I34" si="79">+(D28-D26)/D26*100</f>
        <v>-23.995258129750589</v>
      </c>
      <c r="E34" s="352">
        <f t="shared" si="79"/>
        <v>-0.35854893138357813</v>
      </c>
      <c r="F34" s="352">
        <f t="shared" si="79"/>
        <v>0.30280228428518918</v>
      </c>
      <c r="G34" s="352">
        <f t="shared" si="79"/>
        <v>8.6293245469522226</v>
      </c>
      <c r="H34" s="352">
        <f t="shared" si="79"/>
        <v>0</v>
      </c>
      <c r="I34" s="352">
        <f t="shared" si="79"/>
        <v>2.4846467760605435</v>
      </c>
      <c r="J34" s="282"/>
      <c r="K34" s="771"/>
      <c r="L34" s="159">
        <f>+L33/L$33%</f>
        <v>99.999999999999986</v>
      </c>
      <c r="M34" s="159">
        <f>+M33/M$33%</f>
        <v>99.999999999999986</v>
      </c>
      <c r="N34" s="159">
        <f>+N33/N$33%</f>
        <v>100</v>
      </c>
      <c r="O34" s="159">
        <f>+O33/O$33%</f>
        <v>100.00000000000001</v>
      </c>
      <c r="P34" s="159">
        <f t="shared" ref="P34:Q34" si="80">+P33/P$33%</f>
        <v>100</v>
      </c>
      <c r="Q34" s="159">
        <f t="shared" si="80"/>
        <v>100</v>
      </c>
      <c r="R34" s="35">
        <f t="shared" si="8"/>
        <v>0</v>
      </c>
    </row>
    <row r="35" spans="2:36" ht="30" customHeight="1" thickBot="1">
      <c r="B35" s="282"/>
      <c r="C35" s="282"/>
      <c r="D35" s="282"/>
      <c r="E35" s="282"/>
      <c r="F35" s="282"/>
      <c r="G35" s="282"/>
      <c r="H35" s="282"/>
      <c r="I35" s="282"/>
      <c r="J35" s="282"/>
      <c r="K35" s="786" t="s">
        <v>264</v>
      </c>
      <c r="L35" s="787"/>
      <c r="M35" s="787"/>
      <c r="N35" s="787"/>
      <c r="O35" s="787"/>
      <c r="P35" s="787"/>
      <c r="Q35" s="788"/>
    </row>
    <row r="36" spans="2:36">
      <c r="B36" s="282"/>
      <c r="C36" s="352"/>
      <c r="D36" s="352"/>
      <c r="E36" s="352"/>
      <c r="F36" s="352"/>
      <c r="G36" s="352"/>
      <c r="H36" s="352"/>
      <c r="I36" s="352"/>
      <c r="J36" s="352"/>
      <c r="K36" s="38"/>
    </row>
    <row r="37" spans="2:36" ht="26.45" customHeight="1">
      <c r="B37" s="282"/>
      <c r="C37" s="282"/>
      <c r="D37" s="282"/>
      <c r="E37" s="282"/>
      <c r="F37" s="282"/>
      <c r="G37" s="282"/>
      <c r="H37" s="282"/>
      <c r="I37" s="282"/>
      <c r="J37" s="282"/>
      <c r="L37" s="177">
        <v>440.83300000000003</v>
      </c>
      <c r="M37" s="177">
        <v>114.65600000000001</v>
      </c>
      <c r="N37" s="177">
        <v>555.48900000000003</v>
      </c>
      <c r="O37" s="177">
        <v>461.86799999999999</v>
      </c>
      <c r="P37" s="177">
        <v>119.476</v>
      </c>
      <c r="Q37" s="177">
        <f>+O37+P37</f>
        <v>581.34400000000005</v>
      </c>
      <c r="T37" s="800" t="s">
        <v>31</v>
      </c>
      <c r="U37" s="801"/>
      <c r="V37" s="801"/>
      <c r="W37" s="801"/>
      <c r="X37" s="801"/>
      <c r="Y37" s="801"/>
      <c r="Z37" s="801"/>
      <c r="AA37" s="802"/>
      <c r="AC37" s="800" t="s">
        <v>288</v>
      </c>
      <c r="AD37" s="801"/>
      <c r="AE37" s="801"/>
      <c r="AF37" s="801"/>
      <c r="AG37" s="801"/>
      <c r="AH37" s="801"/>
      <c r="AI37" s="801"/>
      <c r="AJ37" s="802"/>
    </row>
    <row r="38" spans="2:36">
      <c r="B38" s="282"/>
      <c r="C38" s="282"/>
      <c r="D38" s="282"/>
      <c r="E38" s="282"/>
      <c r="F38" s="282"/>
      <c r="G38" s="282"/>
      <c r="H38" s="282"/>
      <c r="I38" s="282"/>
      <c r="J38" s="282"/>
      <c r="L38" s="38">
        <f>+L7+L9+L11+L13+L15+L17+L19+L21+L23+L25+L27+L29+L31</f>
        <v>461.86799999999999</v>
      </c>
      <c r="M38" s="38">
        <f t="shared" ref="M38:Q38" si="81">+M7+M9+M11+M13+M15+M17+M19+M21+M23+M25+M27+M29+M31</f>
        <v>119.47599999999997</v>
      </c>
      <c r="N38" s="38">
        <f t="shared" si="81"/>
        <v>581.34399999999994</v>
      </c>
      <c r="O38" s="38">
        <f t="shared" si="81"/>
        <v>476.53799999999995</v>
      </c>
      <c r="P38" s="38">
        <f t="shared" si="81"/>
        <v>125.292</v>
      </c>
      <c r="Q38" s="38">
        <f t="shared" si="81"/>
        <v>601.82999999999993</v>
      </c>
      <c r="T38" s="803" t="s">
        <v>285</v>
      </c>
      <c r="U38" s="804"/>
      <c r="V38" s="804"/>
      <c r="W38" s="804"/>
      <c r="X38" s="804"/>
      <c r="Y38" s="804"/>
      <c r="Z38" s="804"/>
      <c r="AA38" s="805"/>
      <c r="AC38" s="803" t="s">
        <v>285</v>
      </c>
      <c r="AD38" s="804"/>
      <c r="AE38" s="804"/>
      <c r="AF38" s="804"/>
      <c r="AG38" s="804"/>
      <c r="AH38" s="804"/>
      <c r="AI38" s="804"/>
      <c r="AJ38" s="805"/>
    </row>
    <row r="39" spans="2:36" ht="15" customHeight="1" thickBot="1">
      <c r="B39" s="282"/>
      <c r="C39" s="282"/>
      <c r="D39" s="282"/>
      <c r="E39" s="282"/>
      <c r="F39" s="282"/>
      <c r="G39" s="282"/>
      <c r="H39" s="282"/>
      <c r="I39" s="282"/>
      <c r="J39" s="282"/>
      <c r="T39" s="375" t="s">
        <v>0</v>
      </c>
      <c r="U39" s="806" t="s">
        <v>33</v>
      </c>
      <c r="V39" s="807" t="s">
        <v>34</v>
      </c>
      <c r="W39" s="376" t="s">
        <v>35</v>
      </c>
      <c r="X39" s="807" t="s">
        <v>20</v>
      </c>
      <c r="Y39" s="806" t="s">
        <v>3</v>
      </c>
      <c r="Z39" s="807" t="s">
        <v>4</v>
      </c>
      <c r="AA39" s="808" t="s">
        <v>5</v>
      </c>
      <c r="AC39" s="398" t="s">
        <v>0</v>
      </c>
      <c r="AD39" s="816" t="s">
        <v>33</v>
      </c>
      <c r="AE39" s="818" t="s">
        <v>34</v>
      </c>
      <c r="AF39" s="398" t="s">
        <v>35</v>
      </c>
      <c r="AG39" s="818" t="s">
        <v>20</v>
      </c>
      <c r="AH39" s="816" t="s">
        <v>3</v>
      </c>
      <c r="AI39" s="818" t="s">
        <v>4</v>
      </c>
      <c r="AJ39" s="818" t="s">
        <v>5</v>
      </c>
    </row>
    <row r="40" spans="2:36" ht="33" customHeight="1" thickBot="1">
      <c r="B40" s="796" t="s">
        <v>284</v>
      </c>
      <c r="C40" s="797"/>
      <c r="D40" s="797"/>
      <c r="E40" s="797"/>
      <c r="F40" s="797"/>
      <c r="G40" s="797"/>
      <c r="H40" s="797"/>
      <c r="I40" s="797"/>
      <c r="J40" s="798"/>
      <c r="T40" s="377"/>
      <c r="U40" s="738"/>
      <c r="V40" s="740"/>
      <c r="W40" s="378" t="s">
        <v>36</v>
      </c>
      <c r="X40" s="740"/>
      <c r="Y40" s="738"/>
      <c r="Z40" s="740"/>
      <c r="AA40" s="809"/>
      <c r="AC40" s="399"/>
      <c r="AD40" s="817"/>
      <c r="AE40" s="819"/>
      <c r="AF40" s="399" t="s">
        <v>36</v>
      </c>
      <c r="AG40" s="819"/>
      <c r="AH40" s="817"/>
      <c r="AI40" s="819"/>
      <c r="AJ40" s="819"/>
    </row>
    <row r="41" spans="2:36" ht="23.45" customHeight="1" thickBot="1">
      <c r="B41" s="353" t="s">
        <v>0</v>
      </c>
      <c r="C41" s="354" t="s">
        <v>17</v>
      </c>
      <c r="D41" s="354" t="s">
        <v>18</v>
      </c>
      <c r="E41" s="354" t="s">
        <v>19</v>
      </c>
      <c r="F41" s="354" t="s">
        <v>1</v>
      </c>
      <c r="G41" s="354" t="s">
        <v>20</v>
      </c>
      <c r="H41" s="354" t="s">
        <v>21</v>
      </c>
      <c r="I41" s="354" t="s">
        <v>4</v>
      </c>
      <c r="J41" s="354" t="s">
        <v>5</v>
      </c>
      <c r="T41" s="289" t="s">
        <v>7</v>
      </c>
      <c r="U41" s="289">
        <v>67.77</v>
      </c>
      <c r="V41" s="289">
        <v>21.4</v>
      </c>
      <c r="W41" s="289">
        <v>14.13</v>
      </c>
      <c r="X41" s="289">
        <v>13.52</v>
      </c>
      <c r="Y41" s="289">
        <v>3.91</v>
      </c>
      <c r="Z41" s="289">
        <v>16.23</v>
      </c>
      <c r="AA41" s="289">
        <v>136.96</v>
      </c>
      <c r="AC41" s="820" t="s">
        <v>6</v>
      </c>
      <c r="AD41" s="395">
        <f>+U41/$AA41*100</f>
        <v>49.481600467289717</v>
      </c>
      <c r="AE41" s="395">
        <f t="shared" ref="AE41:AJ41" si="82">+V41/$AA41*100</f>
        <v>15.624999999999996</v>
      </c>
      <c r="AF41" s="395">
        <f t="shared" si="82"/>
        <v>10.316880841121495</v>
      </c>
      <c r="AG41" s="395">
        <f t="shared" si="82"/>
        <v>9.871495327102803</v>
      </c>
      <c r="AH41" s="395">
        <f t="shared" si="82"/>
        <v>2.8548481308411215</v>
      </c>
      <c r="AI41" s="395">
        <f t="shared" si="82"/>
        <v>11.85017523364486</v>
      </c>
      <c r="AJ41" s="395">
        <f t="shared" si="82"/>
        <v>100</v>
      </c>
    </row>
    <row r="42" spans="2:36" ht="15.75" thickBot="1">
      <c r="B42" s="574" t="s">
        <v>6</v>
      </c>
      <c r="C42" s="333">
        <v>122.16</v>
      </c>
      <c r="D42" s="333">
        <v>2.86</v>
      </c>
      <c r="E42" s="333">
        <v>8.94</v>
      </c>
      <c r="F42" s="333">
        <v>58.85</v>
      </c>
      <c r="G42" s="333">
        <v>54.9</v>
      </c>
      <c r="H42" s="333">
        <v>6.84</v>
      </c>
      <c r="I42" s="333">
        <v>90.25</v>
      </c>
      <c r="J42" s="333">
        <v>344.8</v>
      </c>
      <c r="T42" s="289"/>
      <c r="U42" s="359">
        <v>12.76</v>
      </c>
      <c r="V42" s="359">
        <v>23.41</v>
      </c>
      <c r="W42" s="359">
        <v>5.45</v>
      </c>
      <c r="X42" s="359">
        <v>37.26</v>
      </c>
      <c r="Y42" s="359">
        <v>18.84</v>
      </c>
      <c r="Z42" s="359">
        <v>9.07</v>
      </c>
      <c r="AA42" s="374">
        <v>15.23</v>
      </c>
      <c r="AC42" s="821"/>
      <c r="AD42" s="396"/>
      <c r="AE42" s="396"/>
      <c r="AF42" s="396"/>
      <c r="AG42" s="396"/>
      <c r="AH42" s="396"/>
      <c r="AI42" s="396"/>
      <c r="AJ42" s="396"/>
    </row>
    <row r="43" spans="2:36" ht="15.75" thickBot="1">
      <c r="B43" s="799"/>
      <c r="C43" s="355"/>
      <c r="D43" s="355"/>
      <c r="E43" s="355"/>
      <c r="F43" s="355"/>
      <c r="G43" s="355"/>
      <c r="H43" s="355"/>
      <c r="I43" s="355"/>
      <c r="J43" s="355"/>
      <c r="T43" s="289" t="s">
        <v>8</v>
      </c>
      <c r="U43" s="289">
        <v>69.72</v>
      </c>
      <c r="V43" s="289">
        <v>28.84</v>
      </c>
      <c r="W43" s="289">
        <v>13.39</v>
      </c>
      <c r="X43" s="289">
        <v>13.57</v>
      </c>
      <c r="Y43" s="289">
        <v>5.61</v>
      </c>
      <c r="Z43" s="289">
        <v>18.989999999999998</v>
      </c>
      <c r="AA43" s="289">
        <v>150.12</v>
      </c>
      <c r="AC43" s="820" t="s">
        <v>7</v>
      </c>
      <c r="AD43" s="395">
        <f>+U43/$AA43*100</f>
        <v>46.442845723421264</v>
      </c>
      <c r="AE43" s="395">
        <f t="shared" ref="AE43" si="83">+V43/$AA43*100</f>
        <v>19.211297628563813</v>
      </c>
      <c r="AF43" s="395">
        <f t="shared" ref="AF43" si="84">+W43/$AA43*100</f>
        <v>8.919531041833201</v>
      </c>
      <c r="AG43" s="395">
        <f t="shared" ref="AG43" si="85">+X43/$AA43*100</f>
        <v>9.0394351185718094</v>
      </c>
      <c r="AH43" s="395">
        <f t="shared" ref="AH43" si="86">+Y43/$AA43*100</f>
        <v>3.7370103916866508</v>
      </c>
      <c r="AI43" s="395">
        <f t="shared" ref="AI43" si="87">+Z43/$AA43*100</f>
        <v>12.64988009592326</v>
      </c>
      <c r="AJ43" s="395">
        <f t="shared" ref="AJ43" si="88">+AA43/$AA43*100</f>
        <v>100</v>
      </c>
    </row>
    <row r="44" spans="2:36" ht="15.75" thickBot="1">
      <c r="B44" s="810" t="s">
        <v>7</v>
      </c>
      <c r="C44" s="333">
        <v>126.44</v>
      </c>
      <c r="D44" s="333">
        <v>3.85</v>
      </c>
      <c r="E44" s="333">
        <v>10.67</v>
      </c>
      <c r="F44" s="333">
        <v>76.2</v>
      </c>
      <c r="G44" s="333">
        <v>60.65</v>
      </c>
      <c r="H44" s="333">
        <v>3.84</v>
      </c>
      <c r="I44" s="333">
        <v>102.11</v>
      </c>
      <c r="J44" s="333">
        <v>383.76</v>
      </c>
      <c r="T44" s="289"/>
      <c r="U44" s="359">
        <f>+(U43-U41)/U41*100</f>
        <v>2.87737937140328</v>
      </c>
      <c r="V44" s="359">
        <f t="shared" ref="V44" si="89">+(V43-V41)/V41*100</f>
        <v>34.766355140186924</v>
      </c>
      <c r="W44" s="359">
        <f t="shared" ref="W44" si="90">+(W43-W41)/W41*100</f>
        <v>-5.2370842179759389</v>
      </c>
      <c r="X44" s="359">
        <f t="shared" ref="X44" si="91">+(X43-X41)/X41*100</f>
        <v>0.36982248520710587</v>
      </c>
      <c r="Y44" s="359">
        <f t="shared" ref="Y44" si="92">+(Y43-Y41)/Y41*100</f>
        <v>43.478260869565219</v>
      </c>
      <c r="Z44" s="359">
        <f t="shared" ref="Z44" si="93">+(Z43-Z41)/Z41*100</f>
        <v>17.005545286506457</v>
      </c>
      <c r="AA44" s="374">
        <f t="shared" ref="AA44" si="94">+(AA43-AA41)/AA41*100</f>
        <v>9.6086448598130811</v>
      </c>
      <c r="AC44" s="821"/>
      <c r="AD44" s="396"/>
      <c r="AE44" s="396"/>
      <c r="AF44" s="396"/>
      <c r="AG44" s="396"/>
      <c r="AH44" s="396"/>
      <c r="AI44" s="396"/>
      <c r="AJ44" s="396"/>
    </row>
    <row r="45" spans="2:36" ht="15.75" thickBot="1">
      <c r="B45" s="799"/>
      <c r="C45" s="356">
        <f>+(C44-C42)/C42*100</f>
        <v>3.5036018336607735</v>
      </c>
      <c r="D45" s="356">
        <f t="shared" ref="D45:J45" si="95">+(D44-D42)/D42*100</f>
        <v>34.615384615384627</v>
      </c>
      <c r="E45" s="356">
        <f t="shared" si="95"/>
        <v>19.351230425055935</v>
      </c>
      <c r="F45" s="356">
        <f t="shared" si="95"/>
        <v>29.481733220050977</v>
      </c>
      <c r="G45" s="356">
        <f t="shared" si="95"/>
        <v>10.473588342440801</v>
      </c>
      <c r="H45" s="356">
        <f t="shared" si="95"/>
        <v>-43.859649122807021</v>
      </c>
      <c r="I45" s="356">
        <f t="shared" si="95"/>
        <v>13.141274238227146</v>
      </c>
      <c r="J45" s="356">
        <f t="shared" si="95"/>
        <v>11.29930394431554</v>
      </c>
      <c r="T45" s="289" t="s">
        <v>9</v>
      </c>
      <c r="U45" s="289">
        <v>81.2</v>
      </c>
      <c r="V45" s="289">
        <v>33.97</v>
      </c>
      <c r="W45" s="289">
        <v>14.39</v>
      </c>
      <c r="X45" s="289">
        <v>14.02</v>
      </c>
      <c r="Y45" s="289">
        <v>6.82</v>
      </c>
      <c r="Z45" s="289">
        <v>34.520000000000003</v>
      </c>
      <c r="AA45" s="289">
        <v>184.92</v>
      </c>
      <c r="AC45" s="820" t="s">
        <v>8</v>
      </c>
      <c r="AD45" s="395">
        <f>+U45/$AA45*100</f>
        <v>43.910880380705173</v>
      </c>
      <c r="AE45" s="395">
        <f t="shared" ref="AE45" si="96">+V45/$AA45*100</f>
        <v>18.370105991780232</v>
      </c>
      <c r="AF45" s="395">
        <f t="shared" ref="AF45" si="97">+W45/$AA45*100</f>
        <v>7.7817434566298944</v>
      </c>
      <c r="AG45" s="395">
        <f t="shared" ref="AG45" si="98">+X45/$AA45*100</f>
        <v>7.5816569327276664</v>
      </c>
      <c r="AH45" s="395">
        <f t="shared" ref="AH45" si="99">+Y45/$AA45*100</f>
        <v>3.6880813324680948</v>
      </c>
      <c r="AI45" s="395">
        <f t="shared" ref="AI45" si="100">+Z45/$AA45*100</f>
        <v>18.66753190568895</v>
      </c>
      <c r="AJ45" s="395">
        <f t="shared" ref="AJ45" si="101">+AA45/$AA45*100</f>
        <v>100</v>
      </c>
    </row>
    <row r="46" spans="2:36" ht="15.75" thickBot="1">
      <c r="B46" s="810" t="s">
        <v>8</v>
      </c>
      <c r="C46" s="333">
        <v>142.09</v>
      </c>
      <c r="D46" s="333">
        <v>6.62</v>
      </c>
      <c r="E46" s="333">
        <v>10.68</v>
      </c>
      <c r="F46" s="333">
        <v>79.22</v>
      </c>
      <c r="G46" s="333">
        <v>68.83</v>
      </c>
      <c r="H46" s="333">
        <v>2.13</v>
      </c>
      <c r="I46" s="333">
        <v>114</v>
      </c>
      <c r="J46" s="333">
        <v>423.57</v>
      </c>
      <c r="T46" s="289"/>
      <c r="U46" s="359">
        <f>+(U45-U43)/U43*100</f>
        <v>16.465863453815267</v>
      </c>
      <c r="V46" s="359">
        <f t="shared" ref="V46" si="102">+(V45-V43)/V43*100</f>
        <v>17.787794729542298</v>
      </c>
      <c r="W46" s="359">
        <f t="shared" ref="W46" si="103">+(W45-W43)/W43*100</f>
        <v>7.4682598954443611</v>
      </c>
      <c r="X46" s="359">
        <f t="shared" ref="X46" si="104">+(X45-X43)/X43*100</f>
        <v>3.3161385408990363</v>
      </c>
      <c r="Y46" s="359">
        <f t="shared" ref="Y46" si="105">+(Y45-Y43)/Y43*100</f>
        <v>21.56862745098039</v>
      </c>
      <c r="Z46" s="359">
        <f t="shared" ref="Z46" si="106">+(Z45-Z43)/Z43*100</f>
        <v>81.77988414955243</v>
      </c>
      <c r="AA46" s="374">
        <f t="shared" ref="AA46" si="107">+(AA45-AA43)/AA43*100</f>
        <v>23.181454836131081</v>
      </c>
      <c r="AC46" s="821"/>
      <c r="AD46" s="396"/>
      <c r="AE46" s="396"/>
      <c r="AF46" s="396"/>
      <c r="AG46" s="396"/>
      <c r="AH46" s="396"/>
      <c r="AI46" s="396"/>
      <c r="AJ46" s="396"/>
    </row>
    <row r="47" spans="2:36" ht="15.75" thickBot="1">
      <c r="B47" s="799"/>
      <c r="C47" s="356">
        <f>+(C46-C44)/C44*100</f>
        <v>12.377412211325534</v>
      </c>
      <c r="D47" s="356">
        <f t="shared" ref="D47:J47" si="108">+(D46-D44)/D44*100</f>
        <v>71.948051948051955</v>
      </c>
      <c r="E47" s="356">
        <f t="shared" si="108"/>
        <v>9.3720712277411314E-2</v>
      </c>
      <c r="F47" s="356">
        <f t="shared" si="108"/>
        <v>3.9632545931758476</v>
      </c>
      <c r="G47" s="356">
        <f t="shared" si="108"/>
        <v>13.487221764220939</v>
      </c>
      <c r="H47" s="356">
        <f t="shared" si="108"/>
        <v>-44.53125</v>
      </c>
      <c r="I47" s="356">
        <f t="shared" si="108"/>
        <v>11.644305161100773</v>
      </c>
      <c r="J47" s="356">
        <f t="shared" si="108"/>
        <v>10.373671044402752</v>
      </c>
      <c r="T47" s="289" t="s">
        <v>10</v>
      </c>
      <c r="U47" s="289">
        <v>91.04</v>
      </c>
      <c r="V47" s="289">
        <v>34.22</v>
      </c>
      <c r="W47" s="289">
        <v>16.260000000000002</v>
      </c>
      <c r="X47" s="289">
        <v>15.45</v>
      </c>
      <c r="Y47" s="289">
        <v>7.11</v>
      </c>
      <c r="Z47" s="289">
        <v>42.3</v>
      </c>
      <c r="AA47" s="289">
        <v>206.38</v>
      </c>
      <c r="AC47" s="820" t="s">
        <v>9</v>
      </c>
      <c r="AD47" s="395">
        <f>+U47/$AA47*100</f>
        <v>44.112801628064737</v>
      </c>
      <c r="AE47" s="395">
        <f t="shared" ref="AE47" si="109">+V47/$AA47*100</f>
        <v>16.581064056594631</v>
      </c>
      <c r="AF47" s="395">
        <f t="shared" ref="AF47" si="110">+W47/$AA47*100</f>
        <v>7.8786704137997878</v>
      </c>
      <c r="AG47" s="395">
        <f t="shared" ref="AG47" si="111">+X47/$AA47*100</f>
        <v>7.4861905223374352</v>
      </c>
      <c r="AH47" s="395">
        <f t="shared" ref="AH47" si="112">+Y47/$AA47*100</f>
        <v>3.4451012695028593</v>
      </c>
      <c r="AI47" s="395">
        <f t="shared" ref="AI47" si="113">+Z47/$AA47*100</f>
        <v>20.496172109700552</v>
      </c>
      <c r="AJ47" s="395">
        <f t="shared" ref="AJ47" si="114">+AA47/$AA47*100</f>
        <v>100</v>
      </c>
    </row>
    <row r="48" spans="2:36" ht="15.75" thickBot="1">
      <c r="B48" s="810" t="s">
        <v>9</v>
      </c>
      <c r="C48" s="333">
        <v>145.88</v>
      </c>
      <c r="D48" s="333">
        <v>7.93</v>
      </c>
      <c r="E48" s="333">
        <v>11.14</v>
      </c>
      <c r="F48" s="333">
        <v>80.58</v>
      </c>
      <c r="G48" s="333">
        <v>64.63</v>
      </c>
      <c r="H48" s="333">
        <v>4.93</v>
      </c>
      <c r="I48" s="333">
        <v>148.69</v>
      </c>
      <c r="J48" s="333">
        <v>463.78</v>
      </c>
      <c r="T48" s="289"/>
      <c r="U48" s="359">
        <f>+(U47-U45)/U45*100</f>
        <v>12.118226600985226</v>
      </c>
      <c r="V48" s="359">
        <f t="shared" ref="V48" si="115">+(V47-V45)/V45*100</f>
        <v>0.73594347954077122</v>
      </c>
      <c r="W48" s="359">
        <f t="shared" ref="W48" si="116">+(W47-W45)/W45*100</f>
        <v>12.995135510771375</v>
      </c>
      <c r="X48" s="359">
        <f t="shared" ref="X48" si="117">+(X47-X45)/X45*100</f>
        <v>10.19971469329529</v>
      </c>
      <c r="Y48" s="359">
        <f t="shared" ref="Y48" si="118">+(Y47-Y45)/Y45*100</f>
        <v>4.2521994134897367</v>
      </c>
      <c r="Z48" s="359">
        <f t="shared" ref="Z48" si="119">+(Z47-Z45)/Z45*100</f>
        <v>22.537659327925823</v>
      </c>
      <c r="AA48" s="374">
        <f t="shared" ref="AA48" si="120">+(AA47-AA45)/AA45*100</f>
        <v>11.605018386329229</v>
      </c>
      <c r="AC48" s="821"/>
      <c r="AD48" s="396"/>
      <c r="AE48" s="396"/>
      <c r="AF48" s="396"/>
      <c r="AG48" s="396"/>
      <c r="AH48" s="396"/>
      <c r="AI48" s="396"/>
      <c r="AJ48" s="396"/>
    </row>
    <row r="49" spans="2:36" ht="15.75" thickBot="1">
      <c r="B49" s="799"/>
      <c r="C49" s="356">
        <f>+(C48-C46)/C46*100</f>
        <v>2.6673235273418197</v>
      </c>
      <c r="D49" s="356">
        <f t="shared" ref="D49:J49" si="121">+(D48-D46)/D46*100</f>
        <v>19.78851963746223</v>
      </c>
      <c r="E49" s="356">
        <f t="shared" si="121"/>
        <v>4.3071161048689222</v>
      </c>
      <c r="F49" s="356">
        <f t="shared" si="121"/>
        <v>1.7167381974248921</v>
      </c>
      <c r="G49" s="356">
        <f t="shared" si="121"/>
        <v>-6.1019904111579297</v>
      </c>
      <c r="H49" s="356">
        <f t="shared" si="121"/>
        <v>131.45539906103286</v>
      </c>
      <c r="I49" s="356">
        <f t="shared" si="121"/>
        <v>30.429824561403507</v>
      </c>
      <c r="J49" s="356">
        <f t="shared" si="121"/>
        <v>9.4931180206341299</v>
      </c>
      <c r="T49" s="289" t="s">
        <v>11</v>
      </c>
      <c r="U49" s="289">
        <v>97.82</v>
      </c>
      <c r="V49" s="289">
        <v>35.86</v>
      </c>
      <c r="W49" s="289">
        <v>13.26</v>
      </c>
      <c r="X49" s="289">
        <v>21.46</v>
      </c>
      <c r="Y49" s="289">
        <v>8.85</v>
      </c>
      <c r="Z49" s="289">
        <v>35.97</v>
      </c>
      <c r="AA49" s="289">
        <v>213.22</v>
      </c>
      <c r="AC49" s="820" t="s">
        <v>10</v>
      </c>
      <c r="AD49" s="395">
        <f>+U49/$AA49*100</f>
        <v>45.877497420504639</v>
      </c>
      <c r="AE49" s="395">
        <f t="shared" ref="AE49" si="122">+V49/$AA49*100</f>
        <v>16.818309727042489</v>
      </c>
      <c r="AF49" s="395">
        <f t="shared" ref="AF49" si="123">+W49/$AA49*100</f>
        <v>6.2189288059281491</v>
      </c>
      <c r="AG49" s="395">
        <f t="shared" ref="AG49" si="124">+X49/$AA49*100</f>
        <v>10.06472188350061</v>
      </c>
      <c r="AH49" s="395">
        <f t="shared" ref="AH49" si="125">+Y49/$AA49*100</f>
        <v>4.1506425288434476</v>
      </c>
      <c r="AI49" s="395">
        <f t="shared" ref="AI49" si="126">+Z49/$AA49*100</f>
        <v>16.869899634180658</v>
      </c>
      <c r="AJ49" s="395">
        <f t="shared" ref="AJ49" si="127">+AA49/$AA49*100</f>
        <v>100</v>
      </c>
    </row>
    <row r="50" spans="2:36" ht="15.75" thickBot="1">
      <c r="B50" s="810" t="s">
        <v>10</v>
      </c>
      <c r="C50" s="333">
        <v>167.44</v>
      </c>
      <c r="D50" s="333">
        <v>11.87</v>
      </c>
      <c r="E50" s="333">
        <v>6.41</v>
      </c>
      <c r="F50" s="333">
        <v>92.3</v>
      </c>
      <c r="G50" s="333">
        <v>68.67</v>
      </c>
      <c r="H50" s="333">
        <v>2.99</v>
      </c>
      <c r="I50" s="333">
        <v>169.65</v>
      </c>
      <c r="J50" s="333">
        <v>519.30999999999995</v>
      </c>
      <c r="T50" s="289"/>
      <c r="U50" s="359">
        <f>+(U49-U47)/U47*100</f>
        <v>7.4472759226713388</v>
      </c>
      <c r="V50" s="359">
        <f t="shared" ref="V50" si="128">+(V49-V47)/V47*100</f>
        <v>4.79251899473992</v>
      </c>
      <c r="W50" s="359">
        <f t="shared" ref="W50" si="129">+(W49-W47)/W47*100</f>
        <v>-18.450184501845026</v>
      </c>
      <c r="X50" s="359">
        <f t="shared" ref="X50" si="130">+(X49-X47)/X47*100</f>
        <v>38.899676375404539</v>
      </c>
      <c r="Y50" s="359">
        <f t="shared" ref="Y50" si="131">+(Y49-Y47)/Y47*100</f>
        <v>24.472573839662438</v>
      </c>
      <c r="Z50" s="359">
        <f t="shared" ref="Z50" si="132">+(Z49-Z47)/Z47*100</f>
        <v>-14.964539007092196</v>
      </c>
      <c r="AA50" s="374">
        <f t="shared" ref="AA50" si="133">+(AA49-AA47)/AA47*100</f>
        <v>3.3142746390154105</v>
      </c>
      <c r="AC50" s="821"/>
      <c r="AD50" s="396"/>
      <c r="AE50" s="396"/>
      <c r="AF50" s="396"/>
      <c r="AG50" s="396"/>
      <c r="AH50" s="396"/>
      <c r="AI50" s="396"/>
      <c r="AJ50" s="396"/>
    </row>
    <row r="51" spans="2:36" ht="15.75" thickBot="1">
      <c r="B51" s="799"/>
      <c r="C51" s="356">
        <f>+(C50-C48)/C48*100</f>
        <v>14.779270633397315</v>
      </c>
      <c r="D51" s="356">
        <f t="shared" ref="D51:J51" si="134">+(D50-D48)/D48*100</f>
        <v>49.684741488020173</v>
      </c>
      <c r="E51" s="356">
        <f t="shared" si="134"/>
        <v>-42.459605026929985</v>
      </c>
      <c r="F51" s="356">
        <f t="shared" si="134"/>
        <v>14.544551998014393</v>
      </c>
      <c r="G51" s="356">
        <f t="shared" si="134"/>
        <v>6.2509670431688171</v>
      </c>
      <c r="H51" s="356">
        <f t="shared" si="134"/>
        <v>-39.350912778904657</v>
      </c>
      <c r="I51" s="356">
        <f t="shared" si="134"/>
        <v>14.096442262425185</v>
      </c>
      <c r="J51" s="356">
        <f t="shared" si="134"/>
        <v>11.973349432920777</v>
      </c>
      <c r="T51" s="289" t="s">
        <v>12</v>
      </c>
      <c r="U51" s="289">
        <v>137.72</v>
      </c>
      <c r="V51" s="289">
        <v>48.81</v>
      </c>
      <c r="W51" s="289">
        <v>13.14</v>
      </c>
      <c r="X51" s="289">
        <v>41.28</v>
      </c>
      <c r="Y51" s="289">
        <v>9.5</v>
      </c>
      <c r="Z51" s="289">
        <v>38.49</v>
      </c>
      <c r="AA51" s="289">
        <v>288.94</v>
      </c>
      <c r="AC51" s="820" t="s">
        <v>11</v>
      </c>
      <c r="AD51" s="395">
        <f>+U51/$AA51*100</f>
        <v>47.663874852910638</v>
      </c>
      <c r="AE51" s="395">
        <f t="shared" ref="AE51" si="135">+V51/$AA51*100</f>
        <v>16.892780508063961</v>
      </c>
      <c r="AF51" s="395">
        <f t="shared" ref="AF51" si="136">+W51/$AA51*100</f>
        <v>4.5476569530006232</v>
      </c>
      <c r="AG51" s="395">
        <f t="shared" ref="AG51" si="137">+X51/$AA51*100</f>
        <v>14.286703121755382</v>
      </c>
      <c r="AH51" s="395">
        <f t="shared" ref="AH51" si="138">+Y51/$AA51*100</f>
        <v>3.2878798366442865</v>
      </c>
      <c r="AI51" s="395">
        <f t="shared" ref="AI51" si="139">+Z51/$AA51*100</f>
        <v>13.321104727625114</v>
      </c>
      <c r="AJ51" s="395">
        <f t="shared" ref="AJ51" si="140">+AA51/$AA51*100</f>
        <v>100</v>
      </c>
    </row>
    <row r="52" spans="2:36" ht="15.75" thickBot="1">
      <c r="B52" s="810" t="s">
        <v>11</v>
      </c>
      <c r="C52" s="333">
        <v>174.2</v>
      </c>
      <c r="D52" s="333">
        <v>12.17</v>
      </c>
      <c r="E52" s="333">
        <v>6.11</v>
      </c>
      <c r="F52" s="333">
        <v>92.67</v>
      </c>
      <c r="G52" s="333">
        <v>76.930000000000007</v>
      </c>
      <c r="H52" s="333">
        <v>2.4</v>
      </c>
      <c r="I52" s="333">
        <v>166.33</v>
      </c>
      <c r="J52" s="333">
        <v>530.79999999999995</v>
      </c>
      <c r="T52" s="289"/>
      <c r="U52" s="359">
        <f>+(U51-U49)/U49*100</f>
        <v>40.789204661623394</v>
      </c>
      <c r="V52" s="359">
        <f t="shared" ref="V52" si="141">+(V51-V49)/V49*100</f>
        <v>36.112660345789187</v>
      </c>
      <c r="W52" s="359">
        <f t="shared" ref="W52" si="142">+(W51-W49)/W49*100</f>
        <v>-0.90497737556560509</v>
      </c>
      <c r="X52" s="359">
        <f t="shared" ref="X52" si="143">+(X51-X49)/X49*100</f>
        <v>92.357875116495805</v>
      </c>
      <c r="Y52" s="359">
        <f t="shared" ref="Y52" si="144">+(Y51-Y49)/Y49*100</f>
        <v>7.3446327683615866</v>
      </c>
      <c r="Z52" s="359">
        <f t="shared" ref="Z52" si="145">+(Z51-Z49)/Z49*100</f>
        <v>7.0058381984987577</v>
      </c>
      <c r="AA52" s="374">
        <f t="shared" ref="AA52" si="146">+(AA51-AA49)/AA49*100</f>
        <v>35.512616077291057</v>
      </c>
      <c r="AC52" s="821"/>
      <c r="AD52" s="396"/>
      <c r="AE52" s="396"/>
      <c r="AF52" s="396"/>
      <c r="AG52" s="396"/>
      <c r="AH52" s="396"/>
      <c r="AI52" s="396"/>
      <c r="AJ52" s="396"/>
    </row>
    <row r="53" spans="2:36" ht="15.75" thickBot="1">
      <c r="B53" s="799"/>
      <c r="C53" s="356">
        <f>+(C52-C50)/C50*100</f>
        <v>4.0372670807453357</v>
      </c>
      <c r="D53" s="356">
        <f t="shared" ref="D53:J53" si="147">+(D52-D50)/D50*100</f>
        <v>2.5273799494524072</v>
      </c>
      <c r="E53" s="356">
        <f t="shared" si="147"/>
        <v>-4.6801872074882969</v>
      </c>
      <c r="F53" s="356">
        <f t="shared" si="147"/>
        <v>0.40086673889491287</v>
      </c>
      <c r="G53" s="356">
        <f t="shared" si="147"/>
        <v>12.028542303771669</v>
      </c>
      <c r="H53" s="356">
        <f t="shared" si="147"/>
        <v>-19.732441471571917</v>
      </c>
      <c r="I53" s="356">
        <f t="shared" si="147"/>
        <v>-1.9569702328322978</v>
      </c>
      <c r="J53" s="356">
        <f t="shared" si="147"/>
        <v>2.2125512699543646</v>
      </c>
      <c r="T53" s="289" t="s">
        <v>13</v>
      </c>
      <c r="U53" s="289">
        <v>145.38</v>
      </c>
      <c r="V53" s="289">
        <v>38.270000000000003</v>
      </c>
      <c r="W53" s="289">
        <v>12.33</v>
      </c>
      <c r="X53" s="289">
        <v>58.46</v>
      </c>
      <c r="Y53" s="289">
        <v>12.72</v>
      </c>
      <c r="Z53" s="289">
        <v>48.2</v>
      </c>
      <c r="AA53" s="289">
        <v>315.36</v>
      </c>
      <c r="AC53" s="820" t="s">
        <v>12</v>
      </c>
      <c r="AD53" s="395">
        <f>+U53/$AA53*100</f>
        <v>46.099695585996955</v>
      </c>
      <c r="AE53" s="395">
        <f t="shared" ref="AE53" si="148">+V53/$AA53*100</f>
        <v>12.135337392186708</v>
      </c>
      <c r="AF53" s="395">
        <f t="shared" ref="AF53" si="149">+W53/$AA53*100</f>
        <v>3.9098173515981736</v>
      </c>
      <c r="AG53" s="395">
        <f t="shared" ref="AG53" si="150">+X53/$AA53*100</f>
        <v>18.537544393708778</v>
      </c>
      <c r="AH53" s="395">
        <f t="shared" ref="AH53" si="151">+Y53/$AA53*100</f>
        <v>4.0334855403348548</v>
      </c>
      <c r="AI53" s="395">
        <f t="shared" ref="AI53" si="152">+Z53/$AA53*100</f>
        <v>15.284119736174532</v>
      </c>
      <c r="AJ53" s="395">
        <f t="shared" ref="AJ53" si="153">+AA53/$AA53*100</f>
        <v>100</v>
      </c>
    </row>
    <row r="54" spans="2:36" ht="15.75" thickBot="1">
      <c r="B54" s="810" t="s">
        <v>12</v>
      </c>
      <c r="C54" s="333">
        <v>174.86</v>
      </c>
      <c r="D54" s="333">
        <v>10.94</v>
      </c>
      <c r="E54" s="333">
        <v>6.79</v>
      </c>
      <c r="F54" s="333">
        <v>100.89</v>
      </c>
      <c r="G54" s="333">
        <v>71.790000000000006</v>
      </c>
      <c r="H54" s="333">
        <v>1.2</v>
      </c>
      <c r="I54" s="333">
        <v>194.62</v>
      </c>
      <c r="J54" s="333">
        <v>561.09</v>
      </c>
      <c r="T54" s="289"/>
      <c r="U54" s="359">
        <f>+(U53-U51)/U51*100</f>
        <v>5.562009875108914</v>
      </c>
      <c r="V54" s="359">
        <f t="shared" ref="V54" si="154">+(V53-V51)/V51*100</f>
        <v>-21.593935668920299</v>
      </c>
      <c r="W54" s="359">
        <f t="shared" ref="W54" si="155">+(W53-W51)/W51*100</f>
        <v>-6.1643835616438398</v>
      </c>
      <c r="X54" s="359">
        <f t="shared" ref="X54" si="156">+(X53-X51)/X51*100</f>
        <v>41.61821705426356</v>
      </c>
      <c r="Y54" s="359">
        <f t="shared" ref="Y54" si="157">+(Y53-Y51)/Y51*100</f>
        <v>33.894736842105274</v>
      </c>
      <c r="Z54" s="359">
        <f t="shared" ref="Z54" si="158">+(Z53-Z51)/Z51*100</f>
        <v>25.227331774486885</v>
      </c>
      <c r="AA54" s="374">
        <f t="shared" ref="AA54" si="159">+(AA53-AA51)/AA51*100</f>
        <v>9.1437668720149556</v>
      </c>
      <c r="AC54" s="821"/>
      <c r="AD54" s="396"/>
      <c r="AE54" s="396"/>
      <c r="AF54" s="396"/>
      <c r="AG54" s="396"/>
      <c r="AH54" s="396"/>
      <c r="AI54" s="396"/>
      <c r="AJ54" s="396"/>
    </row>
    <row r="55" spans="2:36" ht="15.75" thickBot="1">
      <c r="B55" s="799"/>
      <c r="C55" s="356">
        <f>+(C54-C52)/C52*100</f>
        <v>0.37887485648681118</v>
      </c>
      <c r="D55" s="356">
        <f t="shared" ref="D55:J55" si="160">+(D54-D52)/D52*100</f>
        <v>-10.106820049301565</v>
      </c>
      <c r="E55" s="356">
        <f t="shared" si="160"/>
        <v>11.12929623567921</v>
      </c>
      <c r="F55" s="356">
        <f t="shared" si="160"/>
        <v>8.870184525736482</v>
      </c>
      <c r="G55" s="356">
        <f t="shared" si="160"/>
        <v>-6.681398674119329</v>
      </c>
      <c r="H55" s="356">
        <f t="shared" si="160"/>
        <v>-50</v>
      </c>
      <c r="I55" s="356">
        <f t="shared" si="160"/>
        <v>17.008356880899413</v>
      </c>
      <c r="J55" s="356">
        <f t="shared" si="160"/>
        <v>5.7064807837226974</v>
      </c>
      <c r="T55" s="289" t="s">
        <v>14</v>
      </c>
      <c r="U55" s="289">
        <v>156.32</v>
      </c>
      <c r="V55" s="289">
        <v>30.62</v>
      </c>
      <c r="W55" s="289">
        <v>12.87</v>
      </c>
      <c r="X55" s="289">
        <v>79.040000000000006</v>
      </c>
      <c r="Y55" s="289">
        <v>15.74</v>
      </c>
      <c r="Z55" s="289">
        <v>59.16</v>
      </c>
      <c r="AA55" s="289">
        <v>353.74</v>
      </c>
      <c r="AC55" s="820" t="s">
        <v>13</v>
      </c>
      <c r="AD55" s="395">
        <f>+U55/$AA55*100</f>
        <v>44.190648498897495</v>
      </c>
      <c r="AE55" s="395">
        <f t="shared" ref="AE55" si="161">+V55/$AA55*100</f>
        <v>8.6560750833945832</v>
      </c>
      <c r="AF55" s="395">
        <f t="shared" ref="AF55" si="162">+W55/$AA55*100</f>
        <v>3.6382653926612765</v>
      </c>
      <c r="AG55" s="395">
        <f t="shared" ref="AG55" si="163">+X55/$AA55*100</f>
        <v>22.34409453270764</v>
      </c>
      <c r="AH55" s="395">
        <f t="shared" ref="AH55" si="164">+Y55/$AA55*100</f>
        <v>4.4495957482897044</v>
      </c>
      <c r="AI55" s="395">
        <f t="shared" ref="AI55" si="165">+Z55/$AA55*100</f>
        <v>16.724147679086332</v>
      </c>
      <c r="AJ55" s="395">
        <f t="shared" ref="AJ55" si="166">+AA55/$AA55*100</f>
        <v>100</v>
      </c>
    </row>
    <row r="56" spans="2:36" ht="15.75" thickBot="1">
      <c r="B56" s="810" t="s">
        <v>13</v>
      </c>
      <c r="C56" s="333">
        <v>179.88</v>
      </c>
      <c r="D56" s="333">
        <v>12.37</v>
      </c>
      <c r="E56" s="333">
        <v>8.43</v>
      </c>
      <c r="F56" s="333">
        <v>87.69</v>
      </c>
      <c r="G56" s="333">
        <v>75.150000000000006</v>
      </c>
      <c r="H56" s="333">
        <v>1.92</v>
      </c>
      <c r="I56" s="333">
        <v>204.65</v>
      </c>
      <c r="J56" s="333">
        <v>570.09</v>
      </c>
      <c r="T56" s="289"/>
      <c r="U56" s="359">
        <f>+(U55-U53)/U53*100</f>
        <v>7.525106617141283</v>
      </c>
      <c r="V56" s="359">
        <f t="shared" ref="V56" si="167">+(V55-V53)/V53*100</f>
        <v>-19.989547948784953</v>
      </c>
      <c r="W56" s="359">
        <f t="shared" ref="W56" si="168">+(W55-W53)/W53*100</f>
        <v>4.3795620437956133</v>
      </c>
      <c r="X56" s="359">
        <f t="shared" ref="X56" si="169">+(X55-X53)/X53*100</f>
        <v>35.203557988368125</v>
      </c>
      <c r="Y56" s="359">
        <f t="shared" ref="Y56" si="170">+(Y55-Y53)/Y53*100</f>
        <v>23.742138364779869</v>
      </c>
      <c r="Z56" s="359">
        <f t="shared" ref="Z56" si="171">+(Z55-Z53)/Z53*100</f>
        <v>22.738589211618244</v>
      </c>
      <c r="AA56" s="374">
        <f t="shared" ref="AA56" si="172">+(AA55-AA53)/AA53*100</f>
        <v>12.170218163368848</v>
      </c>
      <c r="AC56" s="821"/>
      <c r="AD56" s="396"/>
      <c r="AE56" s="396"/>
      <c r="AF56" s="396"/>
      <c r="AG56" s="396"/>
      <c r="AH56" s="396"/>
      <c r="AI56" s="396"/>
      <c r="AJ56" s="396"/>
    </row>
    <row r="57" spans="2:36" ht="15.75" thickBot="1">
      <c r="B57" s="799"/>
      <c r="C57" s="356">
        <f>+(C56-C54)/C54*100</f>
        <v>2.8708681230698736</v>
      </c>
      <c r="D57" s="356">
        <f t="shared" ref="D57:J57" si="173">+(D56-D54)/D54*100</f>
        <v>13.071297989031077</v>
      </c>
      <c r="E57" s="356">
        <f t="shared" si="173"/>
        <v>24.153166421207654</v>
      </c>
      <c r="F57" s="356">
        <f t="shared" si="173"/>
        <v>-13.083556348498368</v>
      </c>
      <c r="G57" s="356">
        <f t="shared" si="173"/>
        <v>4.680317592979522</v>
      </c>
      <c r="H57" s="356">
        <f t="shared" si="173"/>
        <v>60</v>
      </c>
      <c r="I57" s="356">
        <f t="shared" si="173"/>
        <v>5.1536327201726451</v>
      </c>
      <c r="J57" s="356">
        <f t="shared" si="173"/>
        <v>1.6040207453349731</v>
      </c>
      <c r="T57" s="289" t="s">
        <v>15</v>
      </c>
      <c r="U57" s="289">
        <v>168.57</v>
      </c>
      <c r="V57" s="289">
        <v>21.86</v>
      </c>
      <c r="W57" s="289">
        <v>11.95</v>
      </c>
      <c r="X57" s="289">
        <v>109.26</v>
      </c>
      <c r="Y57" s="289">
        <v>12.55</v>
      </c>
      <c r="Z57" s="289">
        <v>63.74</v>
      </c>
      <c r="AA57" s="289">
        <v>387.92</v>
      </c>
      <c r="AC57" s="820" t="s">
        <v>14</v>
      </c>
      <c r="AD57" s="395">
        <f>+U57/$AA57*100</f>
        <v>43.454836048669826</v>
      </c>
      <c r="AE57" s="395">
        <f t="shared" ref="AE57" si="174">+V57/$AA57*100</f>
        <v>5.6351825118581145</v>
      </c>
      <c r="AF57" s="395">
        <f t="shared" ref="AF57" si="175">+W57/$AA57*100</f>
        <v>3.0805320684677251</v>
      </c>
      <c r="AG57" s="395">
        <f t="shared" ref="AG57" si="176">+X57/$AA57*100</f>
        <v>28.165601154877294</v>
      </c>
      <c r="AH57" s="395">
        <f t="shared" ref="AH57" si="177">+Y57/$AA57*100</f>
        <v>3.2352031346669419</v>
      </c>
      <c r="AI57" s="395">
        <f t="shared" ref="AI57" si="178">+Z57/$AA57*100</f>
        <v>16.431222932563415</v>
      </c>
      <c r="AJ57" s="395">
        <f t="shared" ref="AJ57" si="179">+AA57/$AA57*100</f>
        <v>100</v>
      </c>
    </row>
    <row r="58" spans="2:36" ht="15.75" thickBot="1">
      <c r="B58" s="810" t="s">
        <v>14</v>
      </c>
      <c r="C58" s="333">
        <v>173.85</v>
      </c>
      <c r="D58" s="333">
        <v>12.22</v>
      </c>
      <c r="E58" s="333">
        <v>8.18</v>
      </c>
      <c r="F58" s="333">
        <v>60.72</v>
      </c>
      <c r="G58" s="333">
        <v>78.78</v>
      </c>
      <c r="H58" s="333">
        <v>3.28</v>
      </c>
      <c r="I58" s="333">
        <v>223.16</v>
      </c>
      <c r="J58" s="333">
        <v>560.19000000000005</v>
      </c>
      <c r="T58" s="289"/>
      <c r="U58" s="359">
        <f>+(U57-U55)/U55*100</f>
        <v>7.8364892528147392</v>
      </c>
      <c r="V58" s="359">
        <f t="shared" ref="V58" si="180">+(V57-V55)/V55*100</f>
        <v>-28.608752449379494</v>
      </c>
      <c r="W58" s="359">
        <f t="shared" ref="W58" si="181">+(W57-W55)/W55*100</f>
        <v>-7.1484071484071485</v>
      </c>
      <c r="X58" s="359">
        <f t="shared" ref="X58" si="182">+(X57-X55)/X55*100</f>
        <v>38.233805668016188</v>
      </c>
      <c r="Y58" s="359">
        <f t="shared" ref="Y58" si="183">+(Y57-Y55)/Y55*100</f>
        <v>-20.266836086404062</v>
      </c>
      <c r="Z58" s="359">
        <f t="shared" ref="Z58" si="184">+(Z57-Z55)/Z55*100</f>
        <v>7.7417173766058234</v>
      </c>
      <c r="AA58" s="374">
        <f t="shared" ref="AA58" si="185">+(AA57-AA55)/AA55*100</f>
        <v>9.6624639565782786</v>
      </c>
      <c r="AC58" s="821"/>
      <c r="AD58" s="396"/>
      <c r="AE58" s="396"/>
      <c r="AF58" s="396"/>
      <c r="AG58" s="396"/>
      <c r="AH58" s="396"/>
      <c r="AI58" s="396"/>
      <c r="AJ58" s="396"/>
    </row>
    <row r="59" spans="2:36" ht="15.75" thickBot="1">
      <c r="B59" s="799"/>
      <c r="C59" s="356">
        <f>+(C58-C56)/C56*100</f>
        <v>-3.3522348232154773</v>
      </c>
      <c r="D59" s="356">
        <f t="shared" ref="D59:J59" si="186">+(D58-D56)/D56*100</f>
        <v>-1.212611156022624</v>
      </c>
      <c r="E59" s="356">
        <f t="shared" si="186"/>
        <v>-2.9655990510083039</v>
      </c>
      <c r="F59" s="356">
        <f t="shared" si="186"/>
        <v>-30.756072528224426</v>
      </c>
      <c r="G59" s="356">
        <f t="shared" si="186"/>
        <v>4.8303393213572789</v>
      </c>
      <c r="H59" s="356">
        <f t="shared" si="186"/>
        <v>70.833333333333329</v>
      </c>
      <c r="I59" s="356">
        <f t="shared" si="186"/>
        <v>9.0447104813095471</v>
      </c>
      <c r="J59" s="356">
        <f t="shared" si="186"/>
        <v>-1.7365679103299436</v>
      </c>
      <c r="T59" s="289" t="s">
        <v>64</v>
      </c>
      <c r="U59" s="290">
        <v>169.77699999999999</v>
      </c>
      <c r="V59" s="290">
        <v>18.338000000000001</v>
      </c>
      <c r="W59" s="290">
        <v>14.178000000000001</v>
      </c>
      <c r="X59" s="290">
        <v>126.321</v>
      </c>
      <c r="Y59" s="290">
        <v>12.01</v>
      </c>
      <c r="Z59" s="290">
        <v>76.346000000000004</v>
      </c>
      <c r="AA59" s="290">
        <v>416.97</v>
      </c>
      <c r="AC59" s="820" t="s">
        <v>15</v>
      </c>
      <c r="AD59" s="395">
        <f>+U59/$AA59*100</f>
        <v>40.716838141832739</v>
      </c>
      <c r="AE59" s="395">
        <f t="shared" ref="AE59" si="187">+V59/$AA59*100</f>
        <v>4.3979183154663408</v>
      </c>
      <c r="AF59" s="395">
        <f t="shared" ref="AF59" si="188">+W59/$AA59*100</f>
        <v>3.4002446219152458</v>
      </c>
      <c r="AG59" s="395">
        <f t="shared" ref="AG59" si="189">+X59/$AA59*100</f>
        <v>30.294985250737462</v>
      </c>
      <c r="AH59" s="395">
        <f t="shared" ref="AH59" si="190">+Y59/$AA59*100</f>
        <v>2.8803031393145786</v>
      </c>
      <c r="AI59" s="395">
        <f t="shared" ref="AI59" si="191">+Z59/$AA59*100</f>
        <v>18.309710530733625</v>
      </c>
      <c r="AJ59" s="395">
        <f t="shared" ref="AJ59" si="192">+AA59/$AA59*100</f>
        <v>100</v>
      </c>
    </row>
    <row r="60" spans="2:36" ht="15.75" thickBot="1">
      <c r="B60" s="810" t="s">
        <v>15</v>
      </c>
      <c r="C60" s="333">
        <v>180.73</v>
      </c>
      <c r="D60" s="333">
        <v>7.47</v>
      </c>
      <c r="E60" s="333">
        <v>7.33</v>
      </c>
      <c r="F60" s="333">
        <v>27.29</v>
      </c>
      <c r="G60" s="333">
        <v>86.8</v>
      </c>
      <c r="H60" s="333">
        <v>6.6</v>
      </c>
      <c r="I60" s="333">
        <v>229.61</v>
      </c>
      <c r="J60" s="333">
        <v>545.83000000000004</v>
      </c>
      <c r="T60" s="289"/>
      <c r="U60" s="359">
        <f>+(U59-U57)/U57*100</f>
        <v>0.71602301714420935</v>
      </c>
      <c r="V60" s="359">
        <f t="shared" ref="V60" si="193">+(V59-V57)/V57*100</f>
        <v>-16.111619396157359</v>
      </c>
      <c r="W60" s="359">
        <f t="shared" ref="W60" si="194">+(W59-W57)/W57*100</f>
        <v>18.644351464435161</v>
      </c>
      <c r="X60" s="359">
        <f t="shared" ref="X60" si="195">+(X59-X57)/X57*100</f>
        <v>15.615046677649635</v>
      </c>
      <c r="Y60" s="359">
        <f t="shared" ref="Y60" si="196">+(Y59-Y57)/Y57*100</f>
        <v>-4.3027888446215208</v>
      </c>
      <c r="Z60" s="359">
        <f t="shared" ref="Z60" si="197">+(Z59-Z57)/Z57*100</f>
        <v>19.777219956071544</v>
      </c>
      <c r="AA60" s="374">
        <f t="shared" ref="AA60" si="198">+(AA59-AA57)/AA57*100</f>
        <v>7.4886574551453933</v>
      </c>
      <c r="AC60" s="821"/>
      <c r="AD60" s="396"/>
      <c r="AE60" s="396"/>
      <c r="AF60" s="396"/>
      <c r="AG60" s="396"/>
      <c r="AH60" s="396"/>
      <c r="AI60" s="396"/>
      <c r="AJ60" s="396"/>
    </row>
    <row r="61" spans="2:36" ht="15.75" thickBot="1">
      <c r="B61" s="575"/>
      <c r="C61" s="356">
        <f>+(C60-C58)/C58*100</f>
        <v>3.9574345700316336</v>
      </c>
      <c r="D61" s="356">
        <f t="shared" ref="D61:J61" si="199">+(D60-D58)/D58*100</f>
        <v>-38.870703764320794</v>
      </c>
      <c r="E61" s="356">
        <f t="shared" si="199"/>
        <v>-10.391198044009776</v>
      </c>
      <c r="F61" s="356">
        <f t="shared" si="199"/>
        <v>-55.055994729907773</v>
      </c>
      <c r="G61" s="356">
        <f t="shared" si="199"/>
        <v>10.180248794110176</v>
      </c>
      <c r="H61" s="356">
        <f t="shared" si="199"/>
        <v>101.21951219512195</v>
      </c>
      <c r="I61" s="356">
        <f t="shared" si="199"/>
        <v>2.8903029216705582</v>
      </c>
      <c r="J61" s="356">
        <f t="shared" si="199"/>
        <v>-2.5634159838626203</v>
      </c>
      <c r="T61" s="289" t="s">
        <v>198</v>
      </c>
      <c r="U61" s="290">
        <v>167.27799999999999</v>
      </c>
      <c r="V61" s="290">
        <v>26.794</v>
      </c>
      <c r="W61" s="290">
        <v>14.224</v>
      </c>
      <c r="X61" s="290">
        <v>156.73699999999999</v>
      </c>
      <c r="Y61" s="290">
        <v>13.952</v>
      </c>
      <c r="Z61" s="290">
        <v>91.903000000000006</v>
      </c>
      <c r="AA61" s="290">
        <f>+U61+V61+W61+X61+Y61+Z61</f>
        <v>470.88800000000003</v>
      </c>
      <c r="AC61" s="820" t="s">
        <v>64</v>
      </c>
      <c r="AD61" s="395">
        <f>+U61/$AA61*100</f>
        <v>35.523946246241138</v>
      </c>
      <c r="AE61" s="395">
        <f t="shared" ref="AE61" si="200">+V61/$AA61*100</f>
        <v>5.6901004060413509</v>
      </c>
      <c r="AF61" s="395">
        <f t="shared" ref="AF61" si="201">+W61/$AA61*100</f>
        <v>3.0206758294966103</v>
      </c>
      <c r="AG61" s="395">
        <f t="shared" ref="AG61" si="202">+X61/$AA61*100</f>
        <v>33.285409694024906</v>
      </c>
      <c r="AH61" s="395">
        <f t="shared" ref="AH61" si="203">+Y61/$AA61*100</f>
        <v>2.9629126246580926</v>
      </c>
      <c r="AI61" s="395">
        <f t="shared" ref="AI61" si="204">+Z61/$AA61*100</f>
        <v>19.516955199537893</v>
      </c>
      <c r="AJ61" s="395">
        <f t="shared" ref="AJ61" si="205">+AA61/$AA61*100</f>
        <v>100</v>
      </c>
    </row>
    <row r="62" spans="2:36">
      <c r="B62" s="574" t="s">
        <v>64</v>
      </c>
      <c r="C62" s="357">
        <v>180.50700000000001</v>
      </c>
      <c r="D62" s="357">
        <v>6.15</v>
      </c>
      <c r="E62" s="357">
        <v>7.64</v>
      </c>
      <c r="F62" s="357">
        <v>23.036999999999999</v>
      </c>
      <c r="G62" s="357">
        <v>93.111999999999995</v>
      </c>
      <c r="H62" s="357">
        <v>4.7939999999999996</v>
      </c>
      <c r="I62" s="357">
        <v>240.256</v>
      </c>
      <c r="J62" s="357">
        <v>555.48900000000003</v>
      </c>
      <c r="T62" s="379"/>
      <c r="U62" s="380">
        <f>+(U61-U59)/U59*100</f>
        <v>-1.4719308269082358</v>
      </c>
      <c r="V62" s="380">
        <f t="shared" ref="V62:V64" si="206">+(V61-V59)/V59*100</f>
        <v>46.111898789399056</v>
      </c>
      <c r="W62" s="380">
        <f t="shared" ref="W62:W64" si="207">+(W61-W59)/W59*100</f>
        <v>0.32444632529270256</v>
      </c>
      <c r="X62" s="380">
        <f t="shared" ref="X62:X64" si="208">+(X61-X59)/X59*100</f>
        <v>24.078340101804134</v>
      </c>
      <c r="Y62" s="380">
        <f t="shared" ref="Y62:Y64" si="209">+(Y61-Y59)/Y59*100</f>
        <v>16.16985845129059</v>
      </c>
      <c r="Z62" s="380">
        <f t="shared" ref="Z62:Z64" si="210">+(Z61-Z59)/Z59*100</f>
        <v>20.376968014041342</v>
      </c>
      <c r="AA62" s="381">
        <f t="shared" ref="AA62:AA64" si="211">+(AA61-AA59)/AA59*100</f>
        <v>12.930906300213445</v>
      </c>
      <c r="AC62" s="821"/>
      <c r="AD62" s="396"/>
      <c r="AE62" s="396"/>
      <c r="AF62" s="396"/>
      <c r="AG62" s="396"/>
      <c r="AH62" s="396"/>
      <c r="AI62" s="396"/>
      <c r="AJ62" s="396"/>
    </row>
    <row r="63" spans="2:36" ht="15.75" thickBot="1">
      <c r="B63" s="576"/>
      <c r="C63" s="358">
        <f>+(C62-C60)/C60*100</f>
        <v>-0.1233884800531095</v>
      </c>
      <c r="D63" s="356">
        <f t="shared" ref="D63:J63" si="212">+(D62-D60)/D60*100</f>
        <v>-17.670682730923687</v>
      </c>
      <c r="E63" s="356">
        <f t="shared" si="212"/>
        <v>4.2291950886766658</v>
      </c>
      <c r="F63" s="356">
        <f t="shared" si="212"/>
        <v>-15.584463173323563</v>
      </c>
      <c r="G63" s="356">
        <f t="shared" si="212"/>
        <v>7.2718894009216566</v>
      </c>
      <c r="H63" s="356">
        <f t="shared" si="212"/>
        <v>-27.363636363636367</v>
      </c>
      <c r="I63" s="356">
        <f t="shared" si="212"/>
        <v>4.6365576412177107</v>
      </c>
      <c r="J63" s="356">
        <f t="shared" si="212"/>
        <v>1.7695985929685052</v>
      </c>
      <c r="T63" s="289" t="s">
        <v>268</v>
      </c>
      <c r="U63" s="290">
        <v>180.64099999999999</v>
      </c>
      <c r="V63" s="290">
        <v>17.382999999999999</v>
      </c>
      <c r="W63" s="290">
        <v>14.173</v>
      </c>
      <c r="X63" s="290">
        <v>141.874</v>
      </c>
      <c r="Y63" s="290">
        <v>16.946000000000002</v>
      </c>
      <c r="Z63" s="290">
        <v>94.853999999999999</v>
      </c>
      <c r="AA63" s="290">
        <f>+U63+V63+W63+X63+Y63+Z63</f>
        <v>465.87100000000004</v>
      </c>
      <c r="AC63" s="820" t="s">
        <v>198</v>
      </c>
      <c r="AD63" s="395">
        <f>+U63/$AA63*100</f>
        <v>38.774896913523264</v>
      </c>
      <c r="AE63" s="395">
        <f t="shared" ref="AE63" si="213">+V63/$AA63*100</f>
        <v>3.7312904215973948</v>
      </c>
      <c r="AF63" s="395">
        <f t="shared" ref="AF63" si="214">+W63/$AA63*100</f>
        <v>3.042258479278598</v>
      </c>
      <c r="AG63" s="395">
        <f t="shared" ref="AG63" si="215">+X63/$AA63*100</f>
        <v>30.453494636927385</v>
      </c>
      <c r="AH63" s="395">
        <f t="shared" ref="AH63" si="216">+Y63/$AA63*100</f>
        <v>3.6374876306960511</v>
      </c>
      <c r="AI63" s="395">
        <f t="shared" ref="AI63" si="217">+Z63/$AA63*100</f>
        <v>20.360571917977293</v>
      </c>
      <c r="AJ63" s="395">
        <f t="shared" ref="AJ63" si="218">+AA63/$AA63*100</f>
        <v>100</v>
      </c>
    </row>
    <row r="64" spans="2:36">
      <c r="B64" s="811" t="s">
        <v>198</v>
      </c>
      <c r="C64" s="337">
        <v>181.02</v>
      </c>
      <c r="D64" s="337">
        <v>7.9260000000000002</v>
      </c>
      <c r="E64" s="337">
        <v>8.3650000000000002</v>
      </c>
      <c r="F64" s="337">
        <v>18.001999999999999</v>
      </c>
      <c r="G64" s="337">
        <v>119.474</v>
      </c>
      <c r="H64" s="337">
        <v>3.089</v>
      </c>
      <c r="I64" s="337">
        <f>105.943+137.525</f>
        <v>243.46800000000002</v>
      </c>
      <c r="J64" s="337">
        <v>581.34400000000005</v>
      </c>
      <c r="T64" s="379"/>
      <c r="U64" s="380">
        <f>+(U63-U61)/U61*100</f>
        <v>7.988498188644054</v>
      </c>
      <c r="V64" s="380">
        <f t="shared" si="206"/>
        <v>-35.123535119802945</v>
      </c>
      <c r="W64" s="380">
        <f t="shared" si="207"/>
        <v>-0.35854893138357813</v>
      </c>
      <c r="X64" s="380">
        <f t="shared" si="208"/>
        <v>-9.4827641207883264</v>
      </c>
      <c r="Y64" s="380">
        <f t="shared" si="209"/>
        <v>21.459288990825701</v>
      </c>
      <c r="Z64" s="380">
        <f t="shared" si="210"/>
        <v>3.2109942004069434</v>
      </c>
      <c r="AA64" s="381">
        <f t="shared" si="211"/>
        <v>-1.0654338186575141</v>
      </c>
      <c r="AC64" s="821"/>
      <c r="AD64" s="396"/>
      <c r="AE64" s="396"/>
      <c r="AF64" s="396"/>
      <c r="AG64" s="396"/>
      <c r="AH64" s="396"/>
      <c r="AI64" s="396"/>
      <c r="AJ64" s="396"/>
    </row>
    <row r="65" spans="2:39" ht="15" customHeight="1" thickBot="1">
      <c r="B65" s="812"/>
      <c r="C65" s="358">
        <f>+(C64-C62)/C62*100</f>
        <v>0.28419950472835137</v>
      </c>
      <c r="D65" s="358">
        <f t="shared" ref="D65:J65" si="219">+(D64-D62)/D62*100</f>
        <v>28.878048780487799</v>
      </c>
      <c r="E65" s="358">
        <f t="shared" si="219"/>
        <v>9.4895287958115269</v>
      </c>
      <c r="F65" s="358">
        <f t="shared" si="219"/>
        <v>-21.856144463254765</v>
      </c>
      <c r="G65" s="358">
        <f t="shared" si="219"/>
        <v>28.312140218231818</v>
      </c>
      <c r="H65" s="358">
        <f t="shared" si="219"/>
        <v>-35.565289945765535</v>
      </c>
      <c r="I65" s="358">
        <f t="shared" si="219"/>
        <v>1.3369072988812007</v>
      </c>
      <c r="J65" s="358">
        <f t="shared" si="219"/>
        <v>4.6544576040209646</v>
      </c>
      <c r="T65" s="793" t="s">
        <v>286</v>
      </c>
      <c r="U65" s="794"/>
      <c r="V65" s="794"/>
      <c r="W65" s="794"/>
      <c r="X65" s="794"/>
      <c r="Y65" s="794"/>
      <c r="Z65" s="794"/>
      <c r="AA65" s="795"/>
    </row>
    <row r="66" spans="2:39" ht="15.75" thickBot="1">
      <c r="B66" s="813" t="s">
        <v>30</v>
      </c>
      <c r="C66" s="814"/>
      <c r="D66" s="814"/>
      <c r="E66" s="814"/>
      <c r="F66" s="814"/>
      <c r="G66" s="814"/>
      <c r="H66" s="814"/>
      <c r="I66" s="814"/>
      <c r="J66" s="815"/>
    </row>
    <row r="68" spans="2:39">
      <c r="W68" t="s">
        <v>281</v>
      </c>
    </row>
    <row r="69" spans="2:39">
      <c r="I69" s="38">
        <f>119.441+141.167</f>
        <v>260.608</v>
      </c>
      <c r="U69" s="38">
        <f>+U25+U61</f>
        <v>348.298</v>
      </c>
      <c r="V69" s="38">
        <f>+V25+V61</f>
        <v>34.72</v>
      </c>
      <c r="W69" s="38">
        <f t="shared" ref="W69" si="220">+W25+W61</f>
        <v>22.584</v>
      </c>
      <c r="X69" s="38">
        <f>+Y25+X61</f>
        <v>276.21100000000001</v>
      </c>
      <c r="Y69" s="38">
        <f>+W25+Y61</f>
        <v>22.311999999999998</v>
      </c>
      <c r="Z69" s="38">
        <f>+Z25+AA25+Z61</f>
        <v>338.452</v>
      </c>
      <c r="AA69" s="38">
        <f>+AB25+AA63</f>
        <v>1047.2049999999999</v>
      </c>
      <c r="AB69" s="38">
        <f>+AB25+AA61</f>
        <v>1052.222</v>
      </c>
    </row>
    <row r="70" spans="2:39">
      <c r="T70" t="s">
        <v>198</v>
      </c>
      <c r="U70" s="38">
        <f>+U27+U63</f>
        <v>367.00099999999998</v>
      </c>
      <c r="V70" s="38">
        <f>+X27+V63</f>
        <v>32.698</v>
      </c>
      <c r="W70" s="38">
        <f t="shared" ref="W70:AA70" si="221">+W27+W63</f>
        <v>21.702999999999999</v>
      </c>
      <c r="X70" s="38">
        <f>+Y27+X63</f>
        <v>275.93</v>
      </c>
      <c r="Y70" s="38">
        <f>+W27+Y63</f>
        <v>24.476000000000003</v>
      </c>
      <c r="Z70" s="38">
        <f>+Z27+AA27+Z63</f>
        <v>348.98699999999997</v>
      </c>
      <c r="AA70" s="38">
        <f t="shared" si="221"/>
        <v>717.63100000000009</v>
      </c>
      <c r="AB70" s="38">
        <f>+AB27+AA63</f>
        <v>1071.761</v>
      </c>
    </row>
    <row r="71" spans="2:39">
      <c r="U71" s="35">
        <f>+(U70-U69)/U69*100</f>
        <v>5.3698269872350615</v>
      </c>
      <c r="V71" s="35">
        <f t="shared" ref="V71:AB71" si="222">+(V70-V69)/V69*100</f>
        <v>-5.8237327188940053</v>
      </c>
      <c r="W71" s="35">
        <f t="shared" si="222"/>
        <v>-3.9009918526390375</v>
      </c>
      <c r="X71" s="35">
        <f t="shared" si="222"/>
        <v>-0.10173381943514412</v>
      </c>
      <c r="Y71" s="35">
        <f t="shared" si="222"/>
        <v>9.6988167802079825</v>
      </c>
      <c r="Z71" s="35">
        <f t="shared" si="222"/>
        <v>3.1127013579473508</v>
      </c>
      <c r="AA71" s="35">
        <f t="shared" si="222"/>
        <v>-31.471774867385072</v>
      </c>
      <c r="AB71" s="35">
        <f t="shared" si="222"/>
        <v>1.8569275305021171</v>
      </c>
    </row>
    <row r="72" spans="2:39" ht="15.75" thickBot="1">
      <c r="E72">
        <f>104148+23923+24442+28507</f>
        <v>181020</v>
      </c>
    </row>
    <row r="73" spans="2:39" ht="15.75">
      <c r="T73" s="361" t="s">
        <v>59</v>
      </c>
      <c r="U73" s="280"/>
      <c r="V73" s="280"/>
      <c r="W73" s="280"/>
      <c r="X73" s="280"/>
      <c r="Y73" s="280"/>
      <c r="Z73" s="280"/>
      <c r="AA73" s="364"/>
      <c r="AB73" s="360"/>
      <c r="AC73" s="360"/>
      <c r="AE73" s="361" t="s">
        <v>59</v>
      </c>
      <c r="AF73" s="280"/>
      <c r="AG73" s="280"/>
      <c r="AH73" s="280"/>
      <c r="AI73" s="280"/>
      <c r="AJ73" s="280"/>
      <c r="AK73" s="280"/>
      <c r="AL73" s="364"/>
      <c r="AM73" s="393"/>
    </row>
    <row r="74" spans="2:39" ht="15.75" thickBot="1">
      <c r="T74" s="339"/>
      <c r="AA74" s="362"/>
      <c r="AE74" s="339"/>
      <c r="AL74" s="362"/>
      <c r="AM74" s="362"/>
    </row>
    <row r="75" spans="2:39" ht="15.75">
      <c r="T75" s="361" t="s">
        <v>0</v>
      </c>
      <c r="U75" s="747" t="s">
        <v>33</v>
      </c>
      <c r="V75" s="745" t="s">
        <v>34</v>
      </c>
      <c r="W75" s="361" t="s">
        <v>35</v>
      </c>
      <c r="X75" s="745" t="s">
        <v>20</v>
      </c>
      <c r="Y75" s="747" t="s">
        <v>3</v>
      </c>
      <c r="Z75" s="745" t="s">
        <v>4</v>
      </c>
      <c r="AA75" s="745" t="s">
        <v>5</v>
      </c>
      <c r="AE75" s="361" t="s">
        <v>0</v>
      </c>
      <c r="AF75" s="747" t="s">
        <v>33</v>
      </c>
      <c r="AG75" s="745" t="s">
        <v>34</v>
      </c>
      <c r="AH75" s="361" t="s">
        <v>35</v>
      </c>
      <c r="AI75" s="745" t="s">
        <v>20</v>
      </c>
      <c r="AJ75" s="747" t="s">
        <v>3</v>
      </c>
      <c r="AK75" s="745" t="s">
        <v>4</v>
      </c>
      <c r="AL75" s="745" t="s">
        <v>5</v>
      </c>
      <c r="AM75" s="362"/>
    </row>
    <row r="76" spans="2:39" ht="16.5" thickBot="1">
      <c r="T76" s="365"/>
      <c r="U76" s="781"/>
      <c r="V76" s="782"/>
      <c r="W76" s="365" t="s">
        <v>36</v>
      </c>
      <c r="X76" s="782"/>
      <c r="Y76" s="781"/>
      <c r="Z76" s="782"/>
      <c r="AA76" s="782"/>
      <c r="AE76" s="365"/>
      <c r="AF76" s="748"/>
      <c r="AG76" s="746"/>
      <c r="AH76" s="394" t="s">
        <v>36</v>
      </c>
      <c r="AI76" s="746"/>
      <c r="AJ76" s="748"/>
      <c r="AK76" s="746"/>
      <c r="AL76" s="746"/>
      <c r="AM76" s="362"/>
    </row>
    <row r="77" spans="2:39">
      <c r="T77" s="369" t="s">
        <v>6</v>
      </c>
      <c r="U77" s="370">
        <f>+U5+U41</f>
        <v>194.20999999999998</v>
      </c>
      <c r="V77" s="368">
        <f>+X5+V41</f>
        <v>97.6</v>
      </c>
      <c r="W77" s="369">
        <f>+W41</f>
        <v>14.13</v>
      </c>
      <c r="X77" s="368">
        <f>+Y5+X41</f>
        <v>74.17</v>
      </c>
      <c r="Y77" s="368">
        <f>+W5+V5+Y41</f>
        <v>18.43</v>
      </c>
      <c r="Z77" s="368">
        <f>+Z5+AA5+Z41</f>
        <v>122.18</v>
      </c>
      <c r="AA77" s="368">
        <f>+AB5+AA41</f>
        <v>520.72</v>
      </c>
      <c r="AB77" s="291"/>
      <c r="AC77" s="292">
        <f>+AB5+AA41</f>
        <v>520.72</v>
      </c>
      <c r="AE77" s="369" t="s">
        <v>6</v>
      </c>
      <c r="AF77" s="395">
        <f>+U77/$AA77*100</f>
        <v>37.296435704409276</v>
      </c>
      <c r="AG77" s="395">
        <f t="shared" ref="AG77:AL77" si="223">+V77/$AA77*100</f>
        <v>18.74327853740974</v>
      </c>
      <c r="AH77" s="395">
        <f t="shared" si="223"/>
        <v>2.7135504685819636</v>
      </c>
      <c r="AI77" s="395">
        <f t="shared" si="223"/>
        <v>14.243739437701644</v>
      </c>
      <c r="AJ77" s="395">
        <f t="shared" si="223"/>
        <v>3.5393301582424335</v>
      </c>
      <c r="AK77" s="395">
        <f t="shared" si="223"/>
        <v>23.463665693654939</v>
      </c>
      <c r="AL77" s="395">
        <f t="shared" si="223"/>
        <v>100</v>
      </c>
      <c r="AM77" s="362"/>
    </row>
    <row r="78" spans="2:39" ht="15.75" thickBot="1">
      <c r="T78" s="363"/>
      <c r="U78" s="371"/>
      <c r="V78" s="371"/>
      <c r="W78" s="372"/>
      <c r="X78" s="371"/>
      <c r="Y78" s="371"/>
      <c r="Z78" s="371"/>
      <c r="AA78" s="371"/>
      <c r="AB78" s="292"/>
      <c r="AC78" s="292"/>
      <c r="AE78" s="363"/>
      <c r="AF78" s="396"/>
      <c r="AG78" s="396"/>
      <c r="AH78" s="396"/>
      <c r="AI78" s="396"/>
      <c r="AJ78" s="396"/>
      <c r="AK78" s="396"/>
      <c r="AL78" s="396"/>
      <c r="AM78" s="362"/>
    </row>
    <row r="79" spans="2:39">
      <c r="T79" s="369" t="s">
        <v>7</v>
      </c>
      <c r="U79" s="370">
        <f>+U7+U43</f>
        <v>211.81</v>
      </c>
      <c r="V79" s="368">
        <f>+X7+V43</f>
        <v>108.06</v>
      </c>
      <c r="W79" s="369">
        <f>+W43</f>
        <v>13.39</v>
      </c>
      <c r="X79" s="368">
        <f>+Y7+X43</f>
        <v>82.4</v>
      </c>
      <c r="Y79" s="368">
        <f>+W7+V7+Y43</f>
        <v>22.91</v>
      </c>
      <c r="Z79" s="368">
        <f>+Z7+AA7+Z43</f>
        <v>135.12</v>
      </c>
      <c r="AA79" s="368">
        <f>+AB7+AA43</f>
        <v>573.69000000000005</v>
      </c>
      <c r="AB79" s="291"/>
      <c r="AC79" s="292">
        <f t="shared" ref="AC79:AC99" si="224">+AB7+AA43</f>
        <v>573.69000000000005</v>
      </c>
      <c r="AE79" s="369" t="s">
        <v>7</v>
      </c>
      <c r="AF79" s="395">
        <f>+U79/$AA79*100</f>
        <v>36.920636580731752</v>
      </c>
      <c r="AG79" s="395">
        <f t="shared" ref="AG79" si="225">+V79/$AA79*100</f>
        <v>18.835956701354391</v>
      </c>
      <c r="AH79" s="395">
        <f t="shared" ref="AH79" si="226">+W79/$AA79*100</f>
        <v>2.3340131429866302</v>
      </c>
      <c r="AI79" s="395">
        <f t="shared" ref="AI79" si="227">+X79/$AA79*100</f>
        <v>14.363157802994648</v>
      </c>
      <c r="AJ79" s="395">
        <f t="shared" ref="AJ79" si="228">+Y79/$AA79*100</f>
        <v>3.9934459377015461</v>
      </c>
      <c r="AK79" s="395">
        <f t="shared" ref="AK79" si="229">+Z79/$AA79*100</f>
        <v>23.552789834231032</v>
      </c>
      <c r="AL79" s="395">
        <f t="shared" ref="AL79" si="230">+AA79/$AA79*100</f>
        <v>100</v>
      </c>
      <c r="AM79" s="362"/>
    </row>
    <row r="80" spans="2:39" ht="15.75" thickBot="1">
      <c r="T80" s="363"/>
      <c r="U80" s="366">
        <f>+(U79-U77)/U77*100</f>
        <v>9.0623551825343824</v>
      </c>
      <c r="V80" s="366">
        <f t="shared" ref="V80:AC80" si="231">+(V79-V77)/V77*100</f>
        <v>10.717213114754106</v>
      </c>
      <c r="W80" s="367">
        <f t="shared" si="231"/>
        <v>-5.2370842179759389</v>
      </c>
      <c r="X80" s="366">
        <f t="shared" si="231"/>
        <v>11.096130510988274</v>
      </c>
      <c r="Y80" s="366">
        <f t="shared" si="231"/>
        <v>24.308193163320677</v>
      </c>
      <c r="Z80" s="366">
        <f t="shared" si="231"/>
        <v>10.59093141266983</v>
      </c>
      <c r="AA80" s="366">
        <f t="shared" si="231"/>
        <v>10.172453525887237</v>
      </c>
      <c r="AB80" s="292"/>
      <c r="AC80" s="292">
        <f t="shared" si="231"/>
        <v>10.172453525887237</v>
      </c>
      <c r="AE80" s="363"/>
      <c r="AF80" s="396"/>
      <c r="AG80" s="396"/>
      <c r="AH80" s="396"/>
      <c r="AI80" s="396"/>
      <c r="AJ80" s="396"/>
      <c r="AK80" s="396"/>
      <c r="AL80" s="396"/>
      <c r="AM80" s="362"/>
    </row>
    <row r="81" spans="20:39">
      <c r="T81" s="369" t="s">
        <v>8</v>
      </c>
      <c r="U81" s="370">
        <f>+U9+U45</f>
        <v>227.07999999999998</v>
      </c>
      <c r="V81" s="368">
        <f>+X9+V45</f>
        <v>114.55</v>
      </c>
      <c r="W81" s="369">
        <f>+W45</f>
        <v>14.39</v>
      </c>
      <c r="X81" s="368">
        <f>+Y9+X45</f>
        <v>78.649999999999991</v>
      </c>
      <c r="Y81" s="368">
        <f>+W9+V9+Y45</f>
        <v>25.89</v>
      </c>
      <c r="Z81" s="368">
        <f>+Z9+AA9+Z45</f>
        <v>188.14000000000001</v>
      </c>
      <c r="AA81" s="368">
        <f>+AB9+AA45</f>
        <v>648.69999999999993</v>
      </c>
      <c r="AB81" s="291"/>
      <c r="AC81" s="292">
        <f t="shared" si="224"/>
        <v>648.69999999999993</v>
      </c>
      <c r="AE81" s="369" t="s">
        <v>8</v>
      </c>
      <c r="AF81" s="395">
        <f>+U81/$AA81*100</f>
        <v>35.00539540619701</v>
      </c>
      <c r="AG81" s="395">
        <f t="shared" ref="AG81" si="232">+V81/$AA81*100</f>
        <v>17.658393710497922</v>
      </c>
      <c r="AH81" s="395">
        <f t="shared" ref="AH81" si="233">+W81/$AA81*100</f>
        <v>2.2182827192847236</v>
      </c>
      <c r="AI81" s="395">
        <f t="shared" ref="AI81" si="234">+X81/$AA81*100</f>
        <v>12.124248496993987</v>
      </c>
      <c r="AJ81" s="395">
        <f t="shared" ref="AJ81" si="235">+Y81/$AA81*100</f>
        <v>3.9910590411592421</v>
      </c>
      <c r="AK81" s="395">
        <f t="shared" ref="AK81" si="236">+Z81/$AA81*100</f>
        <v>29.002620625867127</v>
      </c>
      <c r="AL81" s="395">
        <f t="shared" ref="AL81" si="237">+AA81/$AA81*100</f>
        <v>100</v>
      </c>
      <c r="AM81" s="362"/>
    </row>
    <row r="82" spans="20:39" ht="15.75" thickBot="1">
      <c r="T82" s="363"/>
      <c r="U82" s="366">
        <f>+(U81-U79)/U79*100</f>
        <v>7.2092913460176486</v>
      </c>
      <c r="V82" s="366">
        <f t="shared" ref="V82:AC82" si="238">+(V81-V79)/V79*100</f>
        <v>6.0059226355728255</v>
      </c>
      <c r="W82" s="367">
        <f t="shared" si="238"/>
        <v>7.4682598954443611</v>
      </c>
      <c r="X82" s="366">
        <f t="shared" si="238"/>
        <v>-4.5509708737864241</v>
      </c>
      <c r="Y82" s="366">
        <f t="shared" si="238"/>
        <v>13.007420340462684</v>
      </c>
      <c r="Z82" s="366">
        <f t="shared" si="238"/>
        <v>39.239194789816466</v>
      </c>
      <c r="AA82" s="366">
        <f t="shared" si="238"/>
        <v>13.075005665080422</v>
      </c>
      <c r="AB82" s="292"/>
      <c r="AC82" s="292">
        <f t="shared" si="238"/>
        <v>13.075005665080422</v>
      </c>
      <c r="AE82" s="363"/>
      <c r="AF82" s="396"/>
      <c r="AG82" s="396"/>
      <c r="AH82" s="396"/>
      <c r="AI82" s="396"/>
      <c r="AJ82" s="396"/>
      <c r="AK82" s="396"/>
      <c r="AL82" s="396"/>
      <c r="AM82" s="362"/>
    </row>
    <row r="83" spans="20:39">
      <c r="T83" s="369" t="s">
        <v>9</v>
      </c>
      <c r="U83" s="370">
        <f>+U11+U47</f>
        <v>258.48</v>
      </c>
      <c r="V83" s="368">
        <f>+X11+V47</f>
        <v>126.52</v>
      </c>
      <c r="W83" s="369">
        <f>+W47</f>
        <v>16.260000000000002</v>
      </c>
      <c r="X83" s="368">
        <f>+Y11+X47</f>
        <v>84.12</v>
      </c>
      <c r="Y83" s="368">
        <f>+W11+V11+Y47</f>
        <v>25.39</v>
      </c>
      <c r="Z83" s="368">
        <f>+Z11+AA11+Z47</f>
        <v>214.94</v>
      </c>
      <c r="AA83" s="368">
        <f>+AB11+AA47</f>
        <v>725.68999999999994</v>
      </c>
      <c r="AB83" s="291"/>
      <c r="AC83" s="292">
        <f t="shared" si="224"/>
        <v>725.68999999999994</v>
      </c>
      <c r="AE83" s="369" t="s">
        <v>9</v>
      </c>
      <c r="AF83" s="395">
        <f>+U83/$AA83*100</f>
        <v>35.618514792817876</v>
      </c>
      <c r="AG83" s="395">
        <f t="shared" ref="AG83" si="239">+V83/$AA83*100</f>
        <v>17.434441703757802</v>
      </c>
      <c r="AH83" s="395">
        <f t="shared" ref="AH83" si="240">+W83/$AA83*100</f>
        <v>2.2406261626865471</v>
      </c>
      <c r="AI83" s="395">
        <f t="shared" ref="AI83" si="241">+X83/$AA83*100</f>
        <v>11.591726494784275</v>
      </c>
      <c r="AJ83" s="395">
        <f t="shared" ref="AJ83" si="242">+Y83/$AA83*100</f>
        <v>3.4987391310339131</v>
      </c>
      <c r="AK83" s="395">
        <f t="shared" ref="AK83" si="243">+Z83/$AA83*100</f>
        <v>29.618707712659674</v>
      </c>
      <c r="AL83" s="395">
        <f t="shared" ref="AL83" si="244">+AA83/$AA83*100</f>
        <v>100</v>
      </c>
      <c r="AM83" s="362"/>
    </row>
    <row r="84" spans="20:39" ht="15.75" thickBot="1">
      <c r="T84" s="363"/>
      <c r="U84" s="366">
        <f>+(U83-U81)/U81*100</f>
        <v>13.82772591157303</v>
      </c>
      <c r="V84" s="366">
        <f t="shared" ref="V84:AC84" si="245">+(V83-V81)/V81*100</f>
        <v>10.449585333915321</v>
      </c>
      <c r="W84" s="367">
        <f t="shared" si="245"/>
        <v>12.995135510771375</v>
      </c>
      <c r="X84" s="366">
        <f t="shared" si="245"/>
        <v>6.9548633184996991</v>
      </c>
      <c r="Y84" s="366">
        <f t="shared" si="245"/>
        <v>-1.9312475859405174</v>
      </c>
      <c r="Z84" s="366">
        <f t="shared" si="245"/>
        <v>14.244711385138716</v>
      </c>
      <c r="AA84" s="366">
        <f t="shared" si="245"/>
        <v>11.868352088792973</v>
      </c>
      <c r="AB84" s="292"/>
      <c r="AC84" s="292">
        <f t="shared" si="245"/>
        <v>11.868352088792973</v>
      </c>
      <c r="AD84" s="38"/>
      <c r="AE84" s="363"/>
      <c r="AF84" s="395"/>
      <c r="AG84" s="396"/>
      <c r="AH84" s="396"/>
      <c r="AI84" s="396"/>
      <c r="AJ84" s="396"/>
      <c r="AK84" s="396"/>
      <c r="AL84" s="396"/>
      <c r="AM84" s="362"/>
    </row>
    <row r="85" spans="20:39">
      <c r="T85" s="369" t="s">
        <v>10</v>
      </c>
      <c r="U85" s="370">
        <f>+U13+U49</f>
        <v>272.02</v>
      </c>
      <c r="V85" s="368">
        <f>+X13+V49</f>
        <v>128.53</v>
      </c>
      <c r="W85" s="369">
        <f>+W49</f>
        <v>13.26</v>
      </c>
      <c r="X85" s="368">
        <f>+Y13+X49</f>
        <v>98.390000000000015</v>
      </c>
      <c r="Y85" s="368">
        <f>+W13+V13+Y49</f>
        <v>27.130000000000003</v>
      </c>
      <c r="Z85" s="368">
        <f>+Z13+AA13+Z49</f>
        <v>204.70000000000002</v>
      </c>
      <c r="AA85" s="368">
        <f>+AB13+AA49</f>
        <v>744.02</v>
      </c>
      <c r="AB85" s="291"/>
      <c r="AC85" s="292">
        <f t="shared" si="224"/>
        <v>744.02</v>
      </c>
      <c r="AE85" s="369" t="s">
        <v>10</v>
      </c>
      <c r="AF85" s="395">
        <f>+U85/$AA85*100</f>
        <v>36.560845138571537</v>
      </c>
      <c r="AG85" s="395">
        <f t="shared" ref="AG85" si="246">+V85/$AA85*100</f>
        <v>17.275073250719068</v>
      </c>
      <c r="AH85" s="395">
        <f t="shared" ref="AH85" si="247">+W85/$AA85*100</f>
        <v>1.7822101556409775</v>
      </c>
      <c r="AI85" s="395">
        <f t="shared" ref="AI85" si="248">+X85/$AA85*100</f>
        <v>13.224106878847344</v>
      </c>
      <c r="AJ85" s="395">
        <f t="shared" ref="AJ85" si="249">+Y85/$AA85*100</f>
        <v>3.646407354641005</v>
      </c>
      <c r="AK85" s="395">
        <f t="shared" ref="AK85" si="250">+Z85/$AA85*100</f>
        <v>27.512701271471201</v>
      </c>
      <c r="AL85" s="395">
        <f t="shared" ref="AL85" si="251">+AA85/$AA85*100</f>
        <v>100</v>
      </c>
      <c r="AM85" s="362"/>
    </row>
    <row r="86" spans="20:39" ht="15.75" thickBot="1">
      <c r="T86" s="363"/>
      <c r="U86" s="366">
        <f>+(U85-U83)/U83*100</f>
        <v>5.2383163107396946</v>
      </c>
      <c r="V86" s="366">
        <f t="shared" ref="V86:AC86" si="252">+(V85-V83)/V83*100</f>
        <v>1.5886816313626344</v>
      </c>
      <c r="W86" s="367">
        <f t="shared" si="252"/>
        <v>-18.450184501845026</v>
      </c>
      <c r="X86" s="366">
        <f t="shared" si="252"/>
        <v>16.963861150737053</v>
      </c>
      <c r="Y86" s="366">
        <f t="shared" si="252"/>
        <v>6.8530917684127681</v>
      </c>
      <c r="Z86" s="366">
        <f t="shared" si="252"/>
        <v>-4.7641202195961574</v>
      </c>
      <c r="AA86" s="366">
        <f t="shared" si="252"/>
        <v>2.5258719287850244</v>
      </c>
      <c r="AB86" s="292"/>
      <c r="AC86" s="292">
        <f t="shared" si="252"/>
        <v>2.5258719287850244</v>
      </c>
      <c r="AE86" s="363"/>
      <c r="AF86" s="396"/>
      <c r="AG86" s="396"/>
      <c r="AH86" s="396"/>
      <c r="AI86" s="396"/>
      <c r="AJ86" s="396"/>
      <c r="AK86" s="396"/>
      <c r="AL86" s="396"/>
      <c r="AM86" s="362"/>
    </row>
    <row r="87" spans="20:39">
      <c r="T87" s="369" t="s">
        <v>11</v>
      </c>
      <c r="U87" s="370">
        <f>+U15+U51</f>
        <v>312.58000000000004</v>
      </c>
      <c r="V87" s="368">
        <f>+X15+V51</f>
        <v>149.69999999999999</v>
      </c>
      <c r="W87" s="369">
        <f>+W51</f>
        <v>13.14</v>
      </c>
      <c r="X87" s="368">
        <f>+Y15+X51</f>
        <v>113.07000000000001</v>
      </c>
      <c r="Y87" s="368">
        <f>+W15+V15+Y51</f>
        <v>27.23</v>
      </c>
      <c r="Z87" s="368">
        <f>+Z15+AA15+Z51</f>
        <v>234.31</v>
      </c>
      <c r="AA87" s="368">
        <f>+AB15+AA51</f>
        <v>850.03</v>
      </c>
      <c r="AB87" s="291"/>
      <c r="AC87" s="292">
        <f t="shared" si="224"/>
        <v>850.03</v>
      </c>
      <c r="AE87" s="369" t="s">
        <v>11</v>
      </c>
      <c r="AF87" s="395">
        <f>+U87/$AA87*100</f>
        <v>36.772819782831199</v>
      </c>
      <c r="AG87" s="395">
        <f t="shared" ref="AG87" si="253">+V87/$AA87*100</f>
        <v>17.611143136124607</v>
      </c>
      <c r="AH87" s="395">
        <f t="shared" ref="AH87" si="254">+W87/$AA87*100</f>
        <v>1.545827794313142</v>
      </c>
      <c r="AI87" s="395">
        <f t="shared" ref="AI87" si="255">+X87/$AA87*100</f>
        <v>13.301883462936603</v>
      </c>
      <c r="AJ87" s="395">
        <f t="shared" ref="AJ87" si="256">+Y87/$AA87*100</f>
        <v>3.2034163500111763</v>
      </c>
      <c r="AK87" s="395">
        <f t="shared" ref="AK87" si="257">+Z87/$AA87*100</f>
        <v>27.564909473783278</v>
      </c>
      <c r="AL87" s="395">
        <f t="shared" ref="AL87" si="258">+AA87/$AA87*100</f>
        <v>100</v>
      </c>
      <c r="AM87" s="362"/>
    </row>
    <row r="88" spans="20:39" ht="15.75" thickBot="1">
      <c r="T88" s="363"/>
      <c r="U88" s="366">
        <f>+(U87-U85)/U85*100</f>
        <v>14.910668333210817</v>
      </c>
      <c r="V88" s="366">
        <f t="shared" ref="V88:AC88" si="259">+(V87-V85)/V85*100</f>
        <v>16.470862833579698</v>
      </c>
      <c r="W88" s="367">
        <f t="shared" si="259"/>
        <v>-0.90497737556560509</v>
      </c>
      <c r="X88" s="366">
        <f t="shared" si="259"/>
        <v>14.920215469051723</v>
      </c>
      <c r="Y88" s="366">
        <f t="shared" si="259"/>
        <v>0.36859565057131538</v>
      </c>
      <c r="Z88" s="366">
        <f t="shared" si="259"/>
        <v>14.465070835368824</v>
      </c>
      <c r="AA88" s="366">
        <f t="shared" si="259"/>
        <v>14.248272895889894</v>
      </c>
      <c r="AB88" s="292"/>
      <c r="AC88" s="292">
        <f t="shared" si="259"/>
        <v>14.248272895889894</v>
      </c>
      <c r="AE88" s="363"/>
      <c r="AF88" s="396"/>
      <c r="AG88" s="396"/>
      <c r="AH88" s="396"/>
      <c r="AI88" s="396"/>
      <c r="AJ88" s="396"/>
      <c r="AK88" s="396"/>
      <c r="AL88" s="396"/>
      <c r="AM88" s="362"/>
    </row>
    <row r="89" spans="20:39">
      <c r="T89" s="369" t="s">
        <v>12</v>
      </c>
      <c r="U89" s="370">
        <f>+U17+U53</f>
        <v>325.26</v>
      </c>
      <c r="V89" s="368">
        <f>+X17+V53</f>
        <v>125.96000000000001</v>
      </c>
      <c r="W89" s="369">
        <f>+W53</f>
        <v>12.33</v>
      </c>
      <c r="X89" s="368">
        <f>+Y17+X53</f>
        <v>133.61000000000001</v>
      </c>
      <c r="Y89" s="368">
        <f>+W17+V17+Y53</f>
        <v>33.519999999999996</v>
      </c>
      <c r="Z89" s="368">
        <f>+Z17+AA17+Z53</f>
        <v>254.76999999999998</v>
      </c>
      <c r="AA89" s="368">
        <f>+AB17+AA53</f>
        <v>885.45</v>
      </c>
      <c r="AB89" s="291"/>
      <c r="AC89" s="292">
        <f t="shared" si="224"/>
        <v>885.45</v>
      </c>
      <c r="AE89" s="369" t="s">
        <v>12</v>
      </c>
      <c r="AF89" s="395">
        <f>+U89/$AA89*100</f>
        <v>36.733864136879554</v>
      </c>
      <c r="AG89" s="395">
        <f t="shared" ref="AG89" si="260">+V89/$AA89*100</f>
        <v>14.225535038680897</v>
      </c>
      <c r="AH89" s="395">
        <f t="shared" ref="AH89" si="261">+W89/$AA89*100</f>
        <v>1.3925122818905642</v>
      </c>
      <c r="AI89" s="395">
        <f t="shared" ref="AI89" si="262">+X89/$AA89*100</f>
        <v>15.089502512846575</v>
      </c>
      <c r="AJ89" s="395">
        <f t="shared" ref="AJ89" si="263">+Y89/$AA89*100</f>
        <v>3.7856457168671289</v>
      </c>
      <c r="AK89" s="395">
        <f t="shared" ref="AK89" si="264">+Z89/$AA89*100</f>
        <v>28.772940312835278</v>
      </c>
      <c r="AL89" s="395">
        <f t="shared" ref="AL89" si="265">+AA89/$AA89*100</f>
        <v>100</v>
      </c>
      <c r="AM89" s="362"/>
    </row>
    <row r="90" spans="20:39" ht="15.75" thickBot="1">
      <c r="T90" s="363"/>
      <c r="U90" s="366">
        <f>+(U89-U87)/U87*100</f>
        <v>4.0565615202507992</v>
      </c>
      <c r="V90" s="366">
        <f t="shared" ref="V90:AC90" si="266">+(V89-V87)/V87*100</f>
        <v>-15.858383433533724</v>
      </c>
      <c r="W90" s="367">
        <f t="shared" si="266"/>
        <v>-6.1643835616438398</v>
      </c>
      <c r="X90" s="366">
        <f t="shared" si="266"/>
        <v>18.165738038383306</v>
      </c>
      <c r="Y90" s="366">
        <f t="shared" si="266"/>
        <v>23.099522585383752</v>
      </c>
      <c r="Z90" s="366">
        <f t="shared" si="266"/>
        <v>8.7320216806794324</v>
      </c>
      <c r="AA90" s="366">
        <f t="shared" si="266"/>
        <v>4.1669117560556774</v>
      </c>
      <c r="AB90" s="292"/>
      <c r="AC90" s="292">
        <f t="shared" si="266"/>
        <v>4.1669117560556774</v>
      </c>
      <c r="AE90" s="363"/>
      <c r="AF90" s="396"/>
      <c r="AG90" s="396"/>
      <c r="AH90" s="396"/>
      <c r="AI90" s="396"/>
      <c r="AJ90" s="396"/>
      <c r="AK90" s="396"/>
      <c r="AL90" s="396"/>
      <c r="AM90" s="362"/>
    </row>
    <row r="91" spans="20:39">
      <c r="T91" s="369" t="s">
        <v>13</v>
      </c>
      <c r="U91" s="370">
        <f>+U19+U55</f>
        <v>330.16999999999996</v>
      </c>
      <c r="V91" s="368">
        <f>+X19+V55</f>
        <v>91.34</v>
      </c>
      <c r="W91" s="369">
        <f>+W55</f>
        <v>12.87</v>
      </c>
      <c r="X91" s="368">
        <f>+Y19+X55</f>
        <v>157.82</v>
      </c>
      <c r="Y91" s="368">
        <f>+W19+V19+Y55</f>
        <v>36.14</v>
      </c>
      <c r="Z91" s="368">
        <f>+Z19+AA19+Z55</f>
        <v>285.60000000000002</v>
      </c>
      <c r="AA91" s="368">
        <f>+AB19+AA55</f>
        <v>913.93000000000006</v>
      </c>
      <c r="AB91" s="291"/>
      <c r="AC91" s="292">
        <f t="shared" si="224"/>
        <v>913.93000000000006</v>
      </c>
      <c r="AE91" s="369" t="s">
        <v>13</v>
      </c>
      <c r="AF91" s="395">
        <f>+U91/$AA91*100</f>
        <v>36.126399177179863</v>
      </c>
      <c r="AG91" s="395">
        <f t="shared" ref="AG91" si="267">+V91/$AA91*100</f>
        <v>9.9942008687755077</v>
      </c>
      <c r="AH91" s="395">
        <f t="shared" ref="AH91" si="268">+W91/$AA91*100</f>
        <v>1.4082041294191019</v>
      </c>
      <c r="AI91" s="395">
        <f t="shared" ref="AI91" si="269">+X91/$AA91*100</f>
        <v>17.268280940553431</v>
      </c>
      <c r="AJ91" s="395">
        <f t="shared" ref="AJ91" si="270">+Y91/$AA91*100</f>
        <v>3.9543509896819229</v>
      </c>
      <c r="AK91" s="395">
        <f t="shared" ref="AK91" si="271">+Z91/$AA91*100</f>
        <v>31.249658070092895</v>
      </c>
      <c r="AL91" s="395">
        <f t="shared" ref="AL91" si="272">+AA91/$AA91*100</f>
        <v>100</v>
      </c>
      <c r="AM91" s="362"/>
    </row>
    <row r="92" spans="20:39" ht="15.75" thickBot="1">
      <c r="T92" s="363"/>
      <c r="U92" s="366">
        <f>+(U91-U89)/U89*100</f>
        <v>1.5095615815040178</v>
      </c>
      <c r="V92" s="366">
        <f t="shared" ref="V92:AC92" si="273">+(V91-V89)/V89*100</f>
        <v>-27.484915846300417</v>
      </c>
      <c r="W92" s="367">
        <f t="shared" si="273"/>
        <v>4.3795620437956133</v>
      </c>
      <c r="X92" s="366">
        <f t="shared" si="273"/>
        <v>18.119901204999607</v>
      </c>
      <c r="Y92" s="366">
        <f t="shared" si="273"/>
        <v>7.8162291169451228</v>
      </c>
      <c r="Z92" s="366">
        <f t="shared" si="273"/>
        <v>12.101110805824879</v>
      </c>
      <c r="AA92" s="366">
        <f t="shared" si="273"/>
        <v>3.2164436162403316</v>
      </c>
      <c r="AB92" s="292"/>
      <c r="AC92" s="292">
        <f t="shared" si="273"/>
        <v>3.2164436162403316</v>
      </c>
      <c r="AE92" s="363"/>
      <c r="AF92" s="396"/>
      <c r="AG92" s="396"/>
      <c r="AH92" s="396"/>
      <c r="AI92" s="396"/>
      <c r="AJ92" s="396"/>
      <c r="AK92" s="396"/>
      <c r="AL92" s="396"/>
      <c r="AM92" s="362"/>
    </row>
    <row r="93" spans="20:39">
      <c r="T93" s="369" t="s">
        <v>14</v>
      </c>
      <c r="U93" s="370">
        <f>+U21+U57</f>
        <v>349.29999999999995</v>
      </c>
      <c r="V93" s="368">
        <f>+X21+V57</f>
        <v>49.15</v>
      </c>
      <c r="W93" s="369">
        <f>+W57</f>
        <v>11.95</v>
      </c>
      <c r="X93" s="368">
        <f>+Y21+X57</f>
        <v>196.06</v>
      </c>
      <c r="Y93" s="368">
        <f>+W21+V21+Y57</f>
        <v>27.35</v>
      </c>
      <c r="Z93" s="368">
        <f>+Z21+AA21+Z57</f>
        <v>299.95</v>
      </c>
      <c r="AA93" s="368">
        <f>+AB21+AA57</f>
        <v>933.75</v>
      </c>
      <c r="AB93" s="291"/>
      <c r="AC93" s="292">
        <f t="shared" si="224"/>
        <v>933.75</v>
      </c>
      <c r="AE93" s="369" t="s">
        <v>14</v>
      </c>
      <c r="AF93" s="395">
        <f>+U93/$AA93*100</f>
        <v>37.408299866131181</v>
      </c>
      <c r="AG93" s="395">
        <f t="shared" ref="AG93" si="274">+V93/$AA93*100</f>
        <v>5.2637215528781791</v>
      </c>
      <c r="AH93" s="395">
        <f t="shared" ref="AH93" si="275">+W93/$AA93*100</f>
        <v>1.2797858099062918</v>
      </c>
      <c r="AI93" s="395">
        <f t="shared" ref="AI93" si="276">+X93/$AA93*100</f>
        <v>20.997054886211515</v>
      </c>
      <c r="AJ93" s="395">
        <f t="shared" ref="AJ93" si="277">+Y93/$AA93*100</f>
        <v>2.9290495314591705</v>
      </c>
      <c r="AK93" s="395">
        <f t="shared" ref="AK93" si="278">+Z93/$AA93*100</f>
        <v>32.12315930388219</v>
      </c>
      <c r="AL93" s="395">
        <f t="shared" ref="AL93" si="279">+AA93/$AA93*100</f>
        <v>100</v>
      </c>
      <c r="AM93" s="362"/>
    </row>
    <row r="94" spans="20:39" ht="15.75" thickBot="1">
      <c r="T94" s="363"/>
      <c r="U94" s="366">
        <f>+(U93-U91)/U91*100</f>
        <v>5.7939849168610102</v>
      </c>
      <c r="V94" s="366">
        <f t="shared" ref="V94:AC94" si="280">+(V93-V91)/V91*100</f>
        <v>-46.190059119772279</v>
      </c>
      <c r="W94" s="367">
        <f t="shared" si="280"/>
        <v>-7.1484071484071485</v>
      </c>
      <c r="X94" s="366">
        <f t="shared" si="280"/>
        <v>24.230135597516163</v>
      </c>
      <c r="Y94" s="366">
        <f t="shared" si="280"/>
        <v>-24.322080796900938</v>
      </c>
      <c r="Z94" s="366">
        <f t="shared" si="280"/>
        <v>5.0245098039215561</v>
      </c>
      <c r="AA94" s="366">
        <f t="shared" si="280"/>
        <v>2.1686562428194649</v>
      </c>
      <c r="AB94" s="292"/>
      <c r="AC94" s="292">
        <f t="shared" si="280"/>
        <v>2.1686562428194649</v>
      </c>
      <c r="AE94" s="363"/>
      <c r="AF94" s="396"/>
      <c r="AG94" s="396"/>
      <c r="AH94" s="396"/>
      <c r="AI94" s="396"/>
      <c r="AJ94" s="396"/>
      <c r="AK94" s="396"/>
      <c r="AL94" s="396"/>
      <c r="AM94" s="362"/>
    </row>
    <row r="95" spans="20:39">
      <c r="T95" s="369" t="s">
        <v>15</v>
      </c>
      <c r="U95" s="370">
        <f>+U23+U59</f>
        <v>350.83699999999999</v>
      </c>
      <c r="V95" s="368">
        <f>+X23+V59</f>
        <v>42.957999999999998</v>
      </c>
      <c r="W95" s="369">
        <f>+W59</f>
        <v>14.178000000000001</v>
      </c>
      <c r="X95" s="368">
        <f>+Y23+X59</f>
        <v>230.59100000000001</v>
      </c>
      <c r="Y95" s="368">
        <f>+W23+V23+Y59</f>
        <v>25.799999999999997</v>
      </c>
      <c r="Z95" s="368">
        <f>+Z23+AA23+Z59</f>
        <v>308.096</v>
      </c>
      <c r="AA95" s="368">
        <f>+AB23+AA59</f>
        <v>972.46</v>
      </c>
      <c r="AB95" s="291"/>
      <c r="AC95" s="292">
        <f t="shared" si="224"/>
        <v>972.46</v>
      </c>
      <c r="AE95" s="369" t="s">
        <v>15</v>
      </c>
      <c r="AF95" s="395">
        <f>+U95/$AA95*100</f>
        <v>36.077267959607589</v>
      </c>
      <c r="AG95" s="395">
        <f t="shared" ref="AG95" si="281">+V95/$AA95*100</f>
        <v>4.4174567591469049</v>
      </c>
      <c r="AH95" s="395">
        <f t="shared" ref="AH95" si="282">+W95/$AA95*100</f>
        <v>1.4579519980256257</v>
      </c>
      <c r="AI95" s="395">
        <f t="shared" ref="AI95" si="283">+X95/$AA95*100</f>
        <v>23.712132118544719</v>
      </c>
      <c r="AJ95" s="395">
        <f t="shared" ref="AJ95" si="284">+Y95/$AA95*100</f>
        <v>2.6530654217140031</v>
      </c>
      <c r="AK95" s="395">
        <f t="shared" ref="AK95" si="285">+Z95/$AA95*100</f>
        <v>31.682125742961148</v>
      </c>
      <c r="AL95" s="395">
        <f t="shared" ref="AL95" si="286">+AA95/$AA95*100</f>
        <v>100</v>
      </c>
      <c r="AM95" s="362"/>
    </row>
    <row r="96" spans="20:39" ht="15.75" thickBot="1">
      <c r="T96" s="363"/>
      <c r="U96" s="366">
        <f>+(U95-U93)/U93*100</f>
        <v>0.44002290294876462</v>
      </c>
      <c r="V96" s="366">
        <f t="shared" ref="V96:AC96" si="287">+(V95-V93)/V93*100</f>
        <v>-12.598168870803663</v>
      </c>
      <c r="W96" s="367">
        <f t="shared" si="287"/>
        <v>18.644351464435161</v>
      </c>
      <c r="X96" s="366">
        <f t="shared" si="287"/>
        <v>17.612465571763749</v>
      </c>
      <c r="Y96" s="366">
        <f t="shared" si="287"/>
        <v>-5.6672760511883151</v>
      </c>
      <c r="Z96" s="366">
        <f t="shared" si="287"/>
        <v>2.7157859643273929</v>
      </c>
      <c r="AA96" s="366">
        <f t="shared" si="287"/>
        <v>4.1456492637215572</v>
      </c>
      <c r="AB96" s="292"/>
      <c r="AC96" s="292">
        <f t="shared" si="287"/>
        <v>4.1456492637215572</v>
      </c>
      <c r="AE96" s="363"/>
      <c r="AF96" s="396"/>
      <c r="AG96" s="396"/>
      <c r="AH96" s="396"/>
      <c r="AI96" s="396"/>
      <c r="AJ96" s="396"/>
      <c r="AK96" s="396"/>
      <c r="AL96" s="396"/>
      <c r="AM96" s="362"/>
    </row>
    <row r="97" spans="20:39">
      <c r="T97" s="369" t="s">
        <v>64</v>
      </c>
      <c r="U97" s="368">
        <f>+U25+U61</f>
        <v>348.298</v>
      </c>
      <c r="V97" s="368">
        <f>+X25+V61</f>
        <v>44.795999999999999</v>
      </c>
      <c r="W97" s="373">
        <f>+W61</f>
        <v>14.224</v>
      </c>
      <c r="X97" s="368">
        <f>+Y25+X61</f>
        <v>276.21100000000001</v>
      </c>
      <c r="Y97" s="368">
        <f>+W25+V25+Y61</f>
        <v>30.238</v>
      </c>
      <c r="Z97" s="368">
        <f>+Z25+AA25+Z61</f>
        <v>338.452</v>
      </c>
      <c r="AA97" s="368">
        <f>+AB25+AA61</f>
        <v>1052.222</v>
      </c>
      <c r="AB97" s="291"/>
      <c r="AC97" s="292">
        <f t="shared" si="224"/>
        <v>1052.222</v>
      </c>
      <c r="AE97" s="369" t="s">
        <v>64</v>
      </c>
      <c r="AF97" s="395">
        <f>+U97/$AA97*100</f>
        <v>33.101189672901725</v>
      </c>
      <c r="AG97" s="395">
        <f t="shared" ref="AG97" si="288">+V97/$AA97*100</f>
        <v>4.2572765062885969</v>
      </c>
      <c r="AH97" s="395">
        <f t="shared" ref="AH97" si="289">+W97/$AA97*100</f>
        <v>1.3518059877098179</v>
      </c>
      <c r="AI97" s="395">
        <f t="shared" ref="AI97" si="290">+X97/$AA97*100</f>
        <v>26.250258975767473</v>
      </c>
      <c r="AJ97" s="395">
        <f t="shared" ref="AJ97" si="291">+Y97/$AA97*100</f>
        <v>2.8737281676300248</v>
      </c>
      <c r="AK97" s="395">
        <f t="shared" ref="AK97" si="292">+Z97/$AA97*100</f>
        <v>32.165455578765702</v>
      </c>
      <c r="AL97" s="395">
        <f t="shared" ref="AL97" si="293">+AA97/$AA97*100</f>
        <v>100</v>
      </c>
      <c r="AM97" s="362"/>
    </row>
    <row r="98" spans="20:39" ht="15.75" thickBot="1">
      <c r="T98" s="363"/>
      <c r="U98" s="366">
        <f>+(U97-U95)/U95*100</f>
        <v>-0.7236978995943949</v>
      </c>
      <c r="V98" s="366">
        <f t="shared" ref="V98:AC98" si="294">+(V97-V95)/V95*100</f>
        <v>4.2785977000791497</v>
      </c>
      <c r="W98" s="367">
        <f t="shared" si="294"/>
        <v>0.32444632529270256</v>
      </c>
      <c r="X98" s="366">
        <f t="shared" si="294"/>
        <v>19.783946467988777</v>
      </c>
      <c r="Y98" s="366">
        <f t="shared" si="294"/>
        <v>17.20155038759691</v>
      </c>
      <c r="Z98" s="366">
        <f t="shared" si="294"/>
        <v>9.8527731616119638</v>
      </c>
      <c r="AA98" s="366">
        <f t="shared" si="294"/>
        <v>8.2020854328198531</v>
      </c>
      <c r="AB98" s="292"/>
      <c r="AC98" s="292">
        <f t="shared" si="294"/>
        <v>8.2020854328198531</v>
      </c>
      <c r="AE98" s="363"/>
      <c r="AF98" s="396"/>
      <c r="AG98" s="396"/>
      <c r="AH98" s="396"/>
      <c r="AI98" s="396"/>
      <c r="AJ98" s="396"/>
      <c r="AK98" s="396"/>
      <c r="AL98" s="396"/>
      <c r="AM98" s="362"/>
    </row>
    <row r="99" spans="20:39">
      <c r="T99" s="369" t="s">
        <v>198</v>
      </c>
      <c r="U99" s="368">
        <f>+U27+U63</f>
        <v>367.00099999999998</v>
      </c>
      <c r="V99" s="368">
        <f>+X27+V63</f>
        <v>32.698</v>
      </c>
      <c r="W99" s="373">
        <f>+W63</f>
        <v>14.173</v>
      </c>
      <c r="X99" s="368">
        <f>+Y27+X63</f>
        <v>275.93</v>
      </c>
      <c r="Y99" s="368">
        <f>+W27+V27+Y63</f>
        <v>32.969000000000001</v>
      </c>
      <c r="Z99" s="368">
        <f>+Z27+AA27+Z63</f>
        <v>348.98699999999997</v>
      </c>
      <c r="AA99" s="368">
        <f>+AB27+AA63</f>
        <v>1071.761</v>
      </c>
      <c r="AB99" s="291"/>
      <c r="AC99" s="292">
        <f t="shared" si="224"/>
        <v>1071.761</v>
      </c>
      <c r="AE99" s="369" t="s">
        <v>198</v>
      </c>
      <c r="AF99" s="395">
        <f>+U99/$AA99*100</f>
        <v>34.2428022665501</v>
      </c>
      <c r="AG99" s="395">
        <f t="shared" ref="AG99" si="295">+V99/$AA99*100</f>
        <v>3.050866751076033</v>
      </c>
      <c r="AH99" s="395">
        <f t="shared" ref="AH99" si="296">+W99/$AA99*100</f>
        <v>1.3224030357514409</v>
      </c>
      <c r="AI99" s="395">
        <f t="shared" ref="AI99" si="297">+X99/$AA99*100</f>
        <v>25.745478702807812</v>
      </c>
      <c r="AJ99" s="395">
        <f t="shared" ref="AJ99" si="298">+Y99/$AA99*100</f>
        <v>3.0761522391652618</v>
      </c>
      <c r="AK99" s="395">
        <f t="shared" ref="AK99" si="299">+Z99/$AA99*100</f>
        <v>32.562017091497076</v>
      </c>
      <c r="AL99" s="395">
        <f t="shared" ref="AL99" si="300">+AA99/$AA99*100</f>
        <v>100</v>
      </c>
      <c r="AM99" s="362"/>
    </row>
    <row r="100" spans="20:39" ht="15.75" thickBot="1">
      <c r="T100" s="363"/>
      <c r="U100" s="366">
        <f>+(U99-U97)/U97*100</f>
        <v>5.3698269872350615</v>
      </c>
      <c r="V100" s="366">
        <f t="shared" ref="V100:AC100" si="301">+(V99-V97)/V97*100</f>
        <v>-27.006875613894092</v>
      </c>
      <c r="W100" s="367">
        <f t="shared" si="301"/>
        <v>-0.35854893138357813</v>
      </c>
      <c r="X100" s="366">
        <f t="shared" si="301"/>
        <v>-0.10173381943514412</v>
      </c>
      <c r="Y100" s="366">
        <f t="shared" si="301"/>
        <v>9.031681989549579</v>
      </c>
      <c r="Z100" s="366">
        <f t="shared" si="301"/>
        <v>3.1127013579473508</v>
      </c>
      <c r="AA100" s="366">
        <f t="shared" si="301"/>
        <v>1.8569275305021171</v>
      </c>
      <c r="AB100" s="292"/>
      <c r="AC100" s="292">
        <f t="shared" si="301"/>
        <v>1.8569275305021171</v>
      </c>
      <c r="AE100" s="363"/>
      <c r="AF100" s="396"/>
      <c r="AG100" s="396"/>
      <c r="AH100" s="396"/>
      <c r="AI100" s="396"/>
      <c r="AJ100" s="396"/>
      <c r="AK100" s="396"/>
      <c r="AL100" s="396"/>
      <c r="AM100" s="362"/>
    </row>
    <row r="101" spans="20:39" ht="15.75" thickBot="1">
      <c r="T101" s="793" t="s">
        <v>286</v>
      </c>
      <c r="U101" s="794"/>
      <c r="V101" s="794"/>
      <c r="W101" s="794"/>
      <c r="X101" s="794"/>
      <c r="Y101" s="794"/>
      <c r="Z101" s="794"/>
      <c r="AA101" s="795"/>
      <c r="AB101" s="291"/>
      <c r="AC101" s="291"/>
      <c r="AE101" s="390"/>
      <c r="AF101" s="391"/>
      <c r="AG101" s="391"/>
      <c r="AH101" s="391"/>
      <c r="AI101" s="391"/>
      <c r="AJ101" s="391"/>
      <c r="AK101" s="391"/>
      <c r="AL101" s="391"/>
      <c r="AM101" s="392"/>
    </row>
  </sheetData>
  <mergeCells count="114">
    <mergeCell ref="AD20:AD21"/>
    <mergeCell ref="AD22:AD23"/>
    <mergeCell ref="AD24:AD25"/>
    <mergeCell ref="AD26:AD27"/>
    <mergeCell ref="AD28:AD29"/>
    <mergeCell ref="AD30:AD31"/>
    <mergeCell ref="AD32:AD33"/>
    <mergeCell ref="AE4:AF4"/>
    <mergeCell ref="AG4:AH4"/>
    <mergeCell ref="AD3:AL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C37:AJ37"/>
    <mergeCell ref="AC38:AJ38"/>
    <mergeCell ref="AD39:AD40"/>
    <mergeCell ref="AE39:AE40"/>
    <mergeCell ref="AG39:AG40"/>
    <mergeCell ref="AH39:AH40"/>
    <mergeCell ref="AI39:AI40"/>
    <mergeCell ref="AJ39:AJ40"/>
    <mergeCell ref="T65:AA65"/>
    <mergeCell ref="AC61:AC62"/>
    <mergeCell ref="AC63:AC64"/>
    <mergeCell ref="AC51:AC52"/>
    <mergeCell ref="AC53:AC54"/>
    <mergeCell ref="AC55:AC56"/>
    <mergeCell ref="AC57:AC58"/>
    <mergeCell ref="AC59:AC60"/>
    <mergeCell ref="AC41:AC42"/>
    <mergeCell ref="AC43:AC44"/>
    <mergeCell ref="AC45:AC46"/>
    <mergeCell ref="AC47:AC48"/>
    <mergeCell ref="AC49:AC50"/>
    <mergeCell ref="T101:AA101"/>
    <mergeCell ref="B40:J40"/>
    <mergeCell ref="B42:B43"/>
    <mergeCell ref="T37:AA37"/>
    <mergeCell ref="T38:AA38"/>
    <mergeCell ref="U39:U40"/>
    <mergeCell ref="V39:V40"/>
    <mergeCell ref="X39:X40"/>
    <mergeCell ref="Y39:Y40"/>
    <mergeCell ref="Z39:Z40"/>
    <mergeCell ref="AA39:AA40"/>
    <mergeCell ref="B44:B45"/>
    <mergeCell ref="B46:B47"/>
    <mergeCell ref="B48:B49"/>
    <mergeCell ref="B64:B65"/>
    <mergeCell ref="B54:B55"/>
    <mergeCell ref="B56:B57"/>
    <mergeCell ref="B58:B59"/>
    <mergeCell ref="B60:B61"/>
    <mergeCell ref="B62:B63"/>
    <mergeCell ref="B66:J66"/>
    <mergeCell ref="B50:B51"/>
    <mergeCell ref="B52:B53"/>
    <mergeCell ref="X75:X76"/>
    <mergeCell ref="T25:T26"/>
    <mergeCell ref="B30:I30"/>
    <mergeCell ref="B31:I31"/>
    <mergeCell ref="Y75:Y76"/>
    <mergeCell ref="Z75:Z76"/>
    <mergeCell ref="AA75:AA76"/>
    <mergeCell ref="U75:U76"/>
    <mergeCell ref="V75:V76"/>
    <mergeCell ref="K19:K20"/>
    <mergeCell ref="T29:AB29"/>
    <mergeCell ref="K35:Q35"/>
    <mergeCell ref="K25:K26"/>
    <mergeCell ref="K29:K30"/>
    <mergeCell ref="K31:K32"/>
    <mergeCell ref="K33:K34"/>
    <mergeCell ref="B28:B29"/>
    <mergeCell ref="B26:B27"/>
    <mergeCell ref="K3:Q3"/>
    <mergeCell ref="K4:Q4"/>
    <mergeCell ref="K5:K6"/>
    <mergeCell ref="L5:N5"/>
    <mergeCell ref="O5:Q5"/>
    <mergeCell ref="K7:K8"/>
    <mergeCell ref="B14:B15"/>
    <mergeCell ref="B16:B17"/>
    <mergeCell ref="B18:B19"/>
    <mergeCell ref="B10:B11"/>
    <mergeCell ref="AL75:AL76"/>
    <mergeCell ref="AF75:AF76"/>
    <mergeCell ref="AG75:AG76"/>
    <mergeCell ref="AI75:AI76"/>
    <mergeCell ref="AJ75:AJ76"/>
    <mergeCell ref="AK75:AK76"/>
    <mergeCell ref="K9:K10"/>
    <mergeCell ref="B3:I3"/>
    <mergeCell ref="B4:B5"/>
    <mergeCell ref="C4:I4"/>
    <mergeCell ref="B6:B7"/>
    <mergeCell ref="B8:B9"/>
    <mergeCell ref="K21:K22"/>
    <mergeCell ref="K23:K24"/>
    <mergeCell ref="T27:T28"/>
    <mergeCell ref="K27:K28"/>
    <mergeCell ref="K11:K12"/>
    <mergeCell ref="K13:K14"/>
    <mergeCell ref="K15:K16"/>
    <mergeCell ref="K17:K18"/>
    <mergeCell ref="B24:B25"/>
    <mergeCell ref="T3:AB3"/>
    <mergeCell ref="B20:B21"/>
    <mergeCell ref="B22:B23"/>
  </mergeCells>
  <pageMargins left="0.7" right="0.7" top="0.75" bottom="0.75" header="0.3" footer="0.3"/>
  <pageSetup scale="87" orientation="portrait" r:id="rId1"/>
  <rowBreaks count="2" manualBreakCount="2">
    <brk id="35" max="16383" man="1"/>
    <brk id="72" max="16383" man="1"/>
  </rowBreaks>
  <colBreaks count="3" manualBreakCount="3">
    <brk id="10" max="1048575" man="1"/>
    <brk id="18" max="100" man="1"/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2:V22"/>
  <sheetViews>
    <sheetView workbookViewId="0">
      <selection activeCell="S9" sqref="S9"/>
    </sheetView>
  </sheetViews>
  <sheetFormatPr defaultRowHeight="15"/>
  <cols>
    <col min="1" max="1" width="12.42578125" customWidth="1"/>
    <col min="2" max="2" width="8" customWidth="1"/>
    <col min="3" max="3" width="7.28515625" customWidth="1"/>
    <col min="4" max="4" width="7.5703125" customWidth="1"/>
    <col min="5" max="5" width="7.140625" customWidth="1"/>
    <col min="6" max="6" width="8" customWidth="1"/>
    <col min="7" max="7" width="7.28515625" customWidth="1"/>
    <col min="8" max="8" width="7.42578125" customWidth="1"/>
    <col min="9" max="9" width="8" customWidth="1"/>
    <col min="10" max="10" width="7.5703125" customWidth="1"/>
    <col min="11" max="12" width="7.7109375" customWidth="1"/>
    <col min="13" max="13" width="7.5703125" customWidth="1"/>
    <col min="14" max="14" width="6.42578125" customWidth="1"/>
    <col min="15" max="15" width="7.42578125" customWidth="1"/>
    <col min="16" max="16" width="6.7109375" customWidth="1"/>
  </cols>
  <sheetData>
    <row r="2" spans="2:22" ht="15.75" thickBot="1"/>
    <row r="3" spans="2:22" ht="15.75" thickBot="1">
      <c r="B3" s="828" t="s">
        <v>269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30"/>
    </row>
    <row r="4" spans="2:22" ht="21.75" customHeight="1" thickBot="1">
      <c r="B4" s="831" t="s">
        <v>67</v>
      </c>
      <c r="C4" s="833" t="s">
        <v>13</v>
      </c>
      <c r="D4" s="834"/>
      <c r="E4" s="835"/>
      <c r="F4" s="833" t="s">
        <v>14</v>
      </c>
      <c r="G4" s="834"/>
      <c r="H4" s="835"/>
      <c r="I4" s="833" t="s">
        <v>64</v>
      </c>
      <c r="J4" s="834"/>
      <c r="K4" s="835"/>
      <c r="L4" s="833" t="s">
        <v>198</v>
      </c>
      <c r="M4" s="834"/>
      <c r="N4" s="835"/>
      <c r="O4" s="833" t="s">
        <v>268</v>
      </c>
      <c r="P4" s="834"/>
      <c r="Q4" s="835"/>
    </row>
    <row r="5" spans="2:22" ht="21" customHeight="1" thickBot="1">
      <c r="B5" s="832"/>
      <c r="C5" s="194" t="s">
        <v>270</v>
      </c>
      <c r="D5" s="194" t="s">
        <v>271</v>
      </c>
      <c r="E5" s="194" t="s">
        <v>272</v>
      </c>
      <c r="F5" s="194" t="s">
        <v>270</v>
      </c>
      <c r="G5" s="194" t="s">
        <v>271</v>
      </c>
      <c r="H5" s="194" t="s">
        <v>272</v>
      </c>
      <c r="I5" s="194" t="s">
        <v>270</v>
      </c>
      <c r="J5" s="194" t="s">
        <v>271</v>
      </c>
      <c r="K5" s="194" t="s">
        <v>272</v>
      </c>
      <c r="L5" s="194" t="s">
        <v>270</v>
      </c>
      <c r="M5" s="194" t="s">
        <v>271</v>
      </c>
      <c r="N5" s="194" t="s">
        <v>272</v>
      </c>
      <c r="O5" s="194" t="s">
        <v>270</v>
      </c>
      <c r="P5" s="194" t="s">
        <v>271</v>
      </c>
      <c r="Q5" s="194" t="s">
        <v>272</v>
      </c>
    </row>
    <row r="6" spans="2:22" ht="24.75" customHeight="1" thickBot="1">
      <c r="B6" s="195" t="s">
        <v>40</v>
      </c>
      <c r="C6" s="194">
        <v>2.46</v>
      </c>
      <c r="D6" s="194">
        <v>-2.0099999999999998</v>
      </c>
      <c r="E6" s="194">
        <v>1.6</v>
      </c>
      <c r="F6" s="194">
        <v>-2.2799999999999998</v>
      </c>
      <c r="G6" s="194">
        <v>0.57999999999999996</v>
      </c>
      <c r="H6" s="194">
        <v>-1.75</v>
      </c>
      <c r="I6" s="196">
        <f>R12</f>
        <v>0.45575735478431284</v>
      </c>
      <c r="J6" s="196">
        <f t="shared" ref="J6:K6" si="0">S12</f>
        <v>7.1488645920941885</v>
      </c>
      <c r="K6" s="196">
        <f t="shared" si="0"/>
        <v>1.7679173384141829</v>
      </c>
      <c r="L6" s="196">
        <f>R13</f>
        <v>4.7728149173150696</v>
      </c>
      <c r="M6" s="196">
        <f t="shared" ref="M6:N6" si="1">S13</f>
        <v>4.2037327751613534</v>
      </c>
      <c r="N6" s="196">
        <f t="shared" si="1"/>
        <v>4.6553493312210863</v>
      </c>
      <c r="O6" s="196">
        <f>R14</f>
        <v>4.081234979539702</v>
      </c>
      <c r="P6" s="196">
        <f t="shared" ref="P6:Q6" si="2">S14</f>
        <v>4.7623033143622342</v>
      </c>
      <c r="Q6" s="196">
        <f t="shared" si="2"/>
        <v>4.2212092543218303</v>
      </c>
    </row>
    <row r="7" spans="2:22" ht="24.75" customHeight="1" thickBot="1">
      <c r="B7" s="195" t="s">
        <v>273</v>
      </c>
      <c r="C7" s="194">
        <v>9.6999999999999993</v>
      </c>
      <c r="D7" s="194">
        <v>6.19</v>
      </c>
      <c r="E7" s="194">
        <v>9.14</v>
      </c>
      <c r="F7" s="194">
        <v>12.51</v>
      </c>
      <c r="G7" s="194">
        <v>10.26</v>
      </c>
      <c r="H7" s="194">
        <v>12.17</v>
      </c>
      <c r="I7" s="196">
        <f>R16</f>
        <v>11.215570840717261</v>
      </c>
      <c r="J7" s="196">
        <f t="shared" ref="J7:K7" si="3">S16</f>
        <v>-15.075468266957625</v>
      </c>
      <c r="K7" s="196">
        <f t="shared" si="3"/>
        <v>7.4886574551453782</v>
      </c>
      <c r="L7" s="196">
        <f>R17</f>
        <v>12.809571393847735</v>
      </c>
      <c r="M7" s="196">
        <f t="shared" ref="M7:N7" si="4">S17</f>
        <v>13.897216274089924</v>
      </c>
      <c r="N7" s="196">
        <f t="shared" si="4"/>
        <v>12.931385951027657</v>
      </c>
      <c r="O7" s="196">
        <f>R18</f>
        <v>-1.4029207565238242</v>
      </c>
      <c r="P7" s="196">
        <f t="shared" ref="P7:Q7" si="5">S18</f>
        <v>1.5980447452528697</v>
      </c>
      <c r="Q7" s="196">
        <f t="shared" si="5"/>
        <v>-1.063942746713668</v>
      </c>
    </row>
    <row r="8" spans="2:22" ht="15.75" thickBot="1">
      <c r="B8" s="195" t="s">
        <v>274</v>
      </c>
      <c r="C8" s="194">
        <v>4.9800000000000004</v>
      </c>
      <c r="D8" s="194">
        <v>0.43</v>
      </c>
      <c r="E8" s="194">
        <v>4.17</v>
      </c>
      <c r="F8" s="194">
        <v>3.12</v>
      </c>
      <c r="G8" s="194">
        <v>3.63</v>
      </c>
      <c r="H8" s="194">
        <v>3.21</v>
      </c>
      <c r="I8" s="196">
        <f>R20</f>
        <v>5.09873535814243</v>
      </c>
      <c r="J8" s="196">
        <f t="shared" ref="J8:K8" si="6">S20</f>
        <v>-0.39506172839505332</v>
      </c>
      <c r="K8" s="196">
        <f t="shared" si="6"/>
        <v>4.1445339273475028</v>
      </c>
      <c r="L8" s="196">
        <f>R21</f>
        <v>8.4390526562365071</v>
      </c>
      <c r="M8" s="196">
        <f t="shared" ref="M8:N8" si="7">S21</f>
        <v>7.0091720376797229</v>
      </c>
      <c r="N8" s="196">
        <f t="shared" si="7"/>
        <v>8.2039364086954691</v>
      </c>
      <c r="O8" s="196">
        <f>R22</f>
        <v>1.478011733139297</v>
      </c>
      <c r="P8" s="196">
        <f t="shared" ref="P8:Q8" si="8">S22</f>
        <v>3.7817802745120588</v>
      </c>
      <c r="Q8" s="196">
        <f t="shared" si="8"/>
        <v>1.8550900935147858</v>
      </c>
    </row>
    <row r="9" spans="2:22" ht="15.75" thickBot="1">
      <c r="B9" s="825" t="s">
        <v>275</v>
      </c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6"/>
      <c r="P9" s="826"/>
      <c r="Q9" s="827"/>
      <c r="S9">
        <f>Q14-Q13</f>
        <v>24.539999999999964</v>
      </c>
      <c r="T9">
        <f>S9/Q13%</f>
        <v>4.2212092543218303</v>
      </c>
      <c r="U9">
        <f>Q17-Q18</f>
        <v>5.0099999999999909</v>
      </c>
      <c r="V9">
        <f>U9/Q17%</f>
        <v>1.063942746713668</v>
      </c>
    </row>
    <row r="10" spans="2:22">
      <c r="O10" t="s">
        <v>270</v>
      </c>
      <c r="P10" t="s">
        <v>271</v>
      </c>
      <c r="Q10" t="s">
        <v>272</v>
      </c>
    </row>
    <row r="11" spans="2:22">
      <c r="N11" t="s">
        <v>15</v>
      </c>
      <c r="O11">
        <v>438.83</v>
      </c>
      <c r="P11">
        <v>107.01</v>
      </c>
      <c r="Q11">
        <f>+O11+P11</f>
        <v>545.84</v>
      </c>
    </row>
    <row r="12" spans="2:22">
      <c r="M12" t="s">
        <v>276</v>
      </c>
      <c r="N12" t="s">
        <v>64</v>
      </c>
      <c r="O12">
        <v>440.83</v>
      </c>
      <c r="P12">
        <v>114.66</v>
      </c>
      <c r="Q12">
        <f t="shared" ref="Q12:Q14" si="9">+O12+P12</f>
        <v>555.49</v>
      </c>
      <c r="R12" s="38">
        <f>+(O12-O11)/O11*100</f>
        <v>0.45575735478431284</v>
      </c>
      <c r="S12" s="38">
        <f t="shared" ref="S12:T12" si="10">+(P12-P11)/P11*100</f>
        <v>7.1488645920941885</v>
      </c>
      <c r="T12" s="38">
        <f t="shared" si="10"/>
        <v>1.7679173384141829</v>
      </c>
    </row>
    <row r="13" spans="2:22">
      <c r="N13" t="s">
        <v>198</v>
      </c>
      <c r="O13">
        <v>461.87</v>
      </c>
      <c r="P13">
        <v>119.48</v>
      </c>
      <c r="Q13">
        <f t="shared" si="9"/>
        <v>581.35</v>
      </c>
      <c r="R13" s="38">
        <f t="shared" ref="R13:R14" si="11">+(O13-O12)/O12*100</f>
        <v>4.7728149173150696</v>
      </c>
      <c r="S13" s="38">
        <f t="shared" ref="S13:S14" si="12">+(P13-P12)/P12*100</f>
        <v>4.2037327751613534</v>
      </c>
      <c r="T13" s="38">
        <f t="shared" ref="T13:T14" si="13">+(Q13-Q12)/Q12*100</f>
        <v>4.6553493312210863</v>
      </c>
    </row>
    <row r="14" spans="2:22">
      <c r="M14" s="416"/>
      <c r="N14" s="416" t="s">
        <v>268</v>
      </c>
      <c r="O14" s="416">
        <v>480.72</v>
      </c>
      <c r="P14" s="416">
        <v>125.17</v>
      </c>
      <c r="Q14">
        <f t="shared" si="9"/>
        <v>605.89</v>
      </c>
      <c r="R14" s="38">
        <f t="shared" si="11"/>
        <v>4.081234979539702</v>
      </c>
      <c r="S14" s="38">
        <f t="shared" si="12"/>
        <v>4.7623033143622342</v>
      </c>
      <c r="T14" s="38">
        <f t="shared" si="13"/>
        <v>4.2212092543218303</v>
      </c>
    </row>
    <row r="15" spans="2:22">
      <c r="M15" s="418"/>
      <c r="N15" t="s">
        <v>15</v>
      </c>
      <c r="O15" s="418">
        <v>332.93</v>
      </c>
      <c r="P15" s="418">
        <v>54.99</v>
      </c>
      <c r="Q15" s="418">
        <f>+O15+P15</f>
        <v>387.92</v>
      </c>
      <c r="R15" s="38"/>
      <c r="S15" s="419"/>
      <c r="T15" s="419"/>
    </row>
    <row r="16" spans="2:22">
      <c r="I16">
        <f>605.88/1071.75</f>
        <v>0.56531840447865644</v>
      </c>
      <c r="M16" t="s">
        <v>277</v>
      </c>
      <c r="N16" t="s">
        <v>64</v>
      </c>
      <c r="O16">
        <v>370.27</v>
      </c>
      <c r="P16">
        <v>46.7</v>
      </c>
      <c r="Q16">
        <f t="shared" ref="Q16:Q18" si="14">+O16+P16</f>
        <v>416.96999999999997</v>
      </c>
      <c r="R16" s="38">
        <f t="shared" ref="R16:R20" si="15">+(O16-O15)/O15*100</f>
        <v>11.215570840717261</v>
      </c>
      <c r="S16" s="38">
        <f t="shared" ref="S16" si="16">+(P16-P15)/P15*100</f>
        <v>-15.075468266957625</v>
      </c>
      <c r="T16" s="38">
        <f t="shared" ref="T16" si="17">+(Q16-Q15)/Q15*100</f>
        <v>7.4886574551453782</v>
      </c>
    </row>
    <row r="17" spans="13:20">
      <c r="N17" t="s">
        <v>198</v>
      </c>
      <c r="O17">
        <v>417.7</v>
      </c>
      <c r="P17">
        <v>53.19</v>
      </c>
      <c r="Q17">
        <f t="shared" si="14"/>
        <v>470.89</v>
      </c>
      <c r="R17" s="38">
        <f t="shared" ref="R17:R18" si="18">+(O17-O16)/O16*100</f>
        <v>12.809571393847735</v>
      </c>
      <c r="S17" s="38">
        <f t="shared" ref="S17:S18" si="19">+(P17-P16)/P16*100</f>
        <v>13.897216274089924</v>
      </c>
      <c r="T17" s="38">
        <f t="shared" ref="T17:T18" si="20">+(Q17-Q16)/Q16*100</f>
        <v>12.931385951027657</v>
      </c>
    </row>
    <row r="18" spans="13:20">
      <c r="M18" s="416"/>
      <c r="N18" s="416" t="s">
        <v>268</v>
      </c>
      <c r="O18" s="416">
        <v>411.84</v>
      </c>
      <c r="P18" s="416">
        <v>54.04</v>
      </c>
      <c r="Q18">
        <f t="shared" si="14"/>
        <v>465.88</v>
      </c>
      <c r="R18" s="38">
        <f t="shared" si="18"/>
        <v>-1.4029207565238242</v>
      </c>
      <c r="S18" s="38">
        <f t="shared" si="19"/>
        <v>1.5980447452528697</v>
      </c>
      <c r="T18" s="38">
        <f t="shared" si="20"/>
        <v>-1.063942746713668</v>
      </c>
    </row>
    <row r="19" spans="13:20">
      <c r="M19" s="418"/>
      <c r="N19" t="s">
        <v>15</v>
      </c>
      <c r="O19" s="418">
        <v>771.76</v>
      </c>
      <c r="P19" s="418">
        <v>162</v>
      </c>
      <c r="Q19" s="418">
        <f t="shared" ref="P19:Q21" si="21">+Q11+Q15</f>
        <v>933.76</v>
      </c>
      <c r="R19" s="38"/>
      <c r="S19" s="419"/>
      <c r="T19" s="419"/>
    </row>
    <row r="20" spans="13:20">
      <c r="M20" t="s">
        <v>278</v>
      </c>
      <c r="N20" t="s">
        <v>64</v>
      </c>
      <c r="O20">
        <v>811.11</v>
      </c>
      <c r="P20">
        <f t="shared" si="21"/>
        <v>161.36000000000001</v>
      </c>
      <c r="Q20">
        <f t="shared" si="21"/>
        <v>972.46</v>
      </c>
      <c r="R20" s="38">
        <f t="shared" si="15"/>
        <v>5.09873535814243</v>
      </c>
      <c r="S20" s="38">
        <f t="shared" ref="S20" si="22">+(P20-P19)/P19*100</f>
        <v>-0.39506172839505332</v>
      </c>
      <c r="T20" s="38">
        <f t="shared" ref="T20" si="23">+(Q20-Q19)/Q19*100</f>
        <v>4.1445339273475028</v>
      </c>
    </row>
    <row r="21" spans="13:20">
      <c r="N21" t="s">
        <v>198</v>
      </c>
      <c r="O21">
        <v>879.56</v>
      </c>
      <c r="P21">
        <f t="shared" si="21"/>
        <v>172.67000000000002</v>
      </c>
      <c r="Q21">
        <f t="shared" si="21"/>
        <v>1052.24</v>
      </c>
      <c r="R21" s="38">
        <f t="shared" ref="R21:R22" si="24">+(O21-O20)/O20*100</f>
        <v>8.4390526562365071</v>
      </c>
      <c r="S21" s="38">
        <f t="shared" ref="S21:S22" si="25">+(P21-P20)/P20*100</f>
        <v>7.0091720376797229</v>
      </c>
      <c r="T21" s="38">
        <f t="shared" ref="T21:T22" si="26">+(Q21-Q20)/Q20*100</f>
        <v>8.2039364086954691</v>
      </c>
    </row>
    <row r="22" spans="13:20">
      <c r="M22" s="416"/>
      <c r="N22" s="416" t="s">
        <v>268</v>
      </c>
      <c r="O22" s="416">
        <v>892.56</v>
      </c>
      <c r="P22" s="417">
        <v>179.2</v>
      </c>
      <c r="Q22" s="416">
        <v>1071.76</v>
      </c>
      <c r="R22" s="38">
        <f t="shared" si="24"/>
        <v>1.478011733139297</v>
      </c>
      <c r="S22" s="38">
        <f t="shared" si="25"/>
        <v>3.7817802745120588</v>
      </c>
      <c r="T22" s="38">
        <f t="shared" si="26"/>
        <v>1.8550900935147858</v>
      </c>
    </row>
  </sheetData>
  <mergeCells count="8">
    <mergeCell ref="B9:Q9"/>
    <mergeCell ref="B3:Q3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6"/>
  <sheetViews>
    <sheetView tabSelected="1" workbookViewId="0">
      <selection activeCell="B23" sqref="B23"/>
    </sheetView>
  </sheetViews>
  <sheetFormatPr defaultRowHeight="15"/>
  <cols>
    <col min="2" max="2" width="31.85546875" customWidth="1"/>
    <col min="3" max="13" width="7.7109375" bestFit="1" customWidth="1"/>
    <col min="14" max="14" width="7.5703125" customWidth="1"/>
    <col min="15" max="15" width="10" customWidth="1"/>
    <col min="16" max="16" width="8.28515625" customWidth="1"/>
    <col min="17" max="17" width="10" customWidth="1"/>
    <col min="18" max="18" width="7.7109375" customWidth="1"/>
    <col min="19" max="19" width="8.7109375" customWidth="1"/>
    <col min="20" max="20" width="7.5703125" bestFit="1" customWidth="1"/>
    <col min="27" max="27" width="13.7109375" customWidth="1"/>
  </cols>
  <sheetData>
    <row r="1" spans="1:28" ht="18.75">
      <c r="A1" s="836" t="s">
        <v>311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  <c r="W1" s="836"/>
      <c r="X1" s="836"/>
      <c r="Y1" s="836"/>
      <c r="Z1" s="836"/>
      <c r="AA1" s="836"/>
    </row>
    <row r="2" spans="1:28">
      <c r="A2" s="416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AA2" s="438" t="s">
        <v>312</v>
      </c>
      <c r="AB2" s="423"/>
    </row>
    <row r="3" spans="1:28" ht="45">
      <c r="A3" s="436" t="s">
        <v>297</v>
      </c>
      <c r="B3" s="436" t="s">
        <v>67</v>
      </c>
      <c r="C3" s="436" t="s">
        <v>319</v>
      </c>
      <c r="D3" s="436" t="s">
        <v>318</v>
      </c>
      <c r="E3" s="436" t="s">
        <v>6</v>
      </c>
      <c r="F3" s="433" t="s">
        <v>7</v>
      </c>
      <c r="G3" s="433" t="s">
        <v>8</v>
      </c>
      <c r="H3" s="433" t="s">
        <v>9</v>
      </c>
      <c r="I3" s="433" t="s">
        <v>10</v>
      </c>
      <c r="J3" s="433" t="s">
        <v>11</v>
      </c>
      <c r="K3" s="433" t="s">
        <v>12</v>
      </c>
      <c r="L3" s="433" t="s">
        <v>13</v>
      </c>
      <c r="M3" s="433" t="s">
        <v>14</v>
      </c>
      <c r="N3" s="436" t="s">
        <v>15</v>
      </c>
      <c r="O3" s="436" t="s">
        <v>64</v>
      </c>
      <c r="P3" s="436" t="s">
        <v>198</v>
      </c>
      <c r="Q3" s="436" t="s">
        <v>268</v>
      </c>
      <c r="R3" s="436" t="s">
        <v>313</v>
      </c>
      <c r="S3" s="436" t="s">
        <v>314</v>
      </c>
      <c r="T3" s="436" t="s">
        <v>315</v>
      </c>
      <c r="U3" s="436" t="s">
        <v>316</v>
      </c>
      <c r="V3" s="436" t="s">
        <v>321</v>
      </c>
      <c r="W3" s="436" t="s">
        <v>294</v>
      </c>
      <c r="X3" s="436" t="s">
        <v>295</v>
      </c>
      <c r="Y3" s="436" t="s">
        <v>296</v>
      </c>
      <c r="Z3" s="436" t="s">
        <v>301</v>
      </c>
      <c r="AA3" s="437" t="s">
        <v>322</v>
      </c>
    </row>
    <row r="4" spans="1:28">
      <c r="A4" s="396"/>
      <c r="B4" s="396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5"/>
      <c r="O4" s="426"/>
      <c r="P4" s="426"/>
      <c r="Q4" s="426"/>
      <c r="R4" s="426"/>
      <c r="S4" s="426"/>
      <c r="T4" s="426"/>
      <c r="U4" s="426"/>
      <c r="V4" s="426"/>
      <c r="W4" s="396"/>
      <c r="X4" s="396"/>
      <c r="Y4" s="396"/>
      <c r="Z4" s="396"/>
      <c r="AA4" s="396"/>
    </row>
    <row r="5" spans="1:28">
      <c r="A5" s="396">
        <v>1</v>
      </c>
      <c r="B5" s="396" t="s">
        <v>298</v>
      </c>
      <c r="C5" s="422"/>
      <c r="D5" s="422"/>
      <c r="E5" s="422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</row>
    <row r="6" spans="1:28">
      <c r="A6" s="396"/>
      <c r="B6" s="396" t="s">
        <v>292</v>
      </c>
      <c r="C6" s="396">
        <v>13.919999999999998</v>
      </c>
      <c r="D6" s="396">
        <v>12.48</v>
      </c>
      <c r="E6" s="396">
        <v>12.48</v>
      </c>
      <c r="F6" s="428">
        <v>9.6</v>
      </c>
      <c r="G6" s="428">
        <v>9.6</v>
      </c>
      <c r="H6" s="428">
        <v>10.32</v>
      </c>
      <c r="I6" s="428">
        <v>13.44</v>
      </c>
      <c r="J6" s="428">
        <v>15.84</v>
      </c>
      <c r="K6" s="428">
        <v>31.44</v>
      </c>
      <c r="L6" s="428">
        <v>29.52</v>
      </c>
      <c r="M6" s="428">
        <v>18.48</v>
      </c>
      <c r="N6" s="395">
        <v>14.64</v>
      </c>
      <c r="O6" s="395">
        <v>13.440000000000001</v>
      </c>
      <c r="P6" s="395">
        <v>17.04</v>
      </c>
      <c r="Q6" s="395">
        <v>12</v>
      </c>
      <c r="R6" s="395">
        <v>13.68</v>
      </c>
      <c r="S6" s="395">
        <v>14.879999999999999</v>
      </c>
      <c r="T6" s="395">
        <v>11.114580265095729</v>
      </c>
      <c r="U6" s="424">
        <v>16.769321901792672</v>
      </c>
      <c r="V6" s="424">
        <v>12.24</v>
      </c>
      <c r="W6" s="395">
        <v>14.748958543983822</v>
      </c>
      <c r="X6" s="395">
        <v>11.051239669421486</v>
      </c>
      <c r="Y6" s="395">
        <v>19.206740425531912</v>
      </c>
      <c r="Z6" s="395">
        <v>9.7093436293436284</v>
      </c>
      <c r="AA6" s="395">
        <v>13.696499999999999</v>
      </c>
    </row>
    <row r="7" spans="1:28">
      <c r="A7" s="396"/>
      <c r="B7" s="396" t="s">
        <v>293</v>
      </c>
      <c r="C7" s="396">
        <v>21.84</v>
      </c>
      <c r="D7" s="396">
        <v>2088</v>
      </c>
      <c r="E7" s="396">
        <v>23.28</v>
      </c>
      <c r="F7" s="428">
        <v>32.64</v>
      </c>
      <c r="G7" s="428">
        <v>51.6</v>
      </c>
      <c r="H7" s="428">
        <v>46.08</v>
      </c>
      <c r="I7" s="428">
        <v>68.64</v>
      </c>
      <c r="J7" s="428">
        <v>81.12</v>
      </c>
      <c r="K7" s="428">
        <v>105.36</v>
      </c>
      <c r="L7" s="428">
        <v>89.52</v>
      </c>
      <c r="M7" s="428">
        <v>60.96</v>
      </c>
      <c r="N7" s="395">
        <v>54.96</v>
      </c>
      <c r="O7" s="395">
        <v>53.04</v>
      </c>
      <c r="P7" s="395">
        <v>34.32</v>
      </c>
      <c r="Q7" s="395">
        <v>15.84</v>
      </c>
      <c r="R7" s="395">
        <v>59.760000000000005</v>
      </c>
      <c r="S7" s="395">
        <v>75.599999999999994</v>
      </c>
      <c r="T7" s="395">
        <v>65.27746255506608</v>
      </c>
      <c r="U7" s="424">
        <v>70.945882352941169</v>
      </c>
      <c r="V7" s="424">
        <v>65.039999999999992</v>
      </c>
      <c r="W7" s="395">
        <v>31.097080820265379</v>
      </c>
      <c r="X7" s="395">
        <v>27.452872394509406</v>
      </c>
      <c r="Y7" s="395">
        <v>1.1494433781190019</v>
      </c>
      <c r="Z7" s="395">
        <v>0.28990439770554494</v>
      </c>
      <c r="AA7" s="395">
        <v>9.2864222001982147E-3</v>
      </c>
    </row>
    <row r="8" spans="1:28">
      <c r="A8" s="396">
        <v>2</v>
      </c>
      <c r="B8" s="396" t="s">
        <v>300</v>
      </c>
      <c r="C8" s="396">
        <v>28.56</v>
      </c>
      <c r="D8" s="396">
        <v>19.440000000000001</v>
      </c>
      <c r="E8" s="396">
        <v>17.759999999999998</v>
      </c>
      <c r="F8" s="428">
        <v>18</v>
      </c>
      <c r="G8" s="428">
        <v>24.96</v>
      </c>
      <c r="H8" s="428">
        <v>25.44</v>
      </c>
      <c r="I8" s="428">
        <v>71.28</v>
      </c>
      <c r="J8" s="428">
        <v>55.68</v>
      </c>
      <c r="K8" s="428">
        <v>151.19999999999999</v>
      </c>
      <c r="L8" s="428">
        <v>120.96</v>
      </c>
      <c r="M8" s="428">
        <v>88.56</v>
      </c>
      <c r="N8" s="395">
        <v>39.599999999999994</v>
      </c>
      <c r="O8" s="395">
        <v>46.56</v>
      </c>
      <c r="P8" s="395">
        <v>98.640000000000015</v>
      </c>
      <c r="Q8" s="395">
        <v>49.199999999999996</v>
      </c>
      <c r="R8" s="395">
        <v>59.28</v>
      </c>
      <c r="S8" s="395">
        <v>20.88</v>
      </c>
      <c r="T8" s="395">
        <v>7.1375916496945013</v>
      </c>
      <c r="U8" s="424">
        <v>15.323129657228019</v>
      </c>
      <c r="V8" s="424">
        <v>6.24</v>
      </c>
      <c r="W8" s="395">
        <v>2.4434479322371701</v>
      </c>
      <c r="X8" s="395">
        <v>1.6795884082318353</v>
      </c>
      <c r="Y8" s="395">
        <v>1.2154686346863468</v>
      </c>
      <c r="Z8" s="395">
        <v>39.880000000000003</v>
      </c>
      <c r="AA8" s="395">
        <v>33.16958041958042</v>
      </c>
    </row>
    <row r="9" spans="1:28">
      <c r="A9" s="396">
        <v>3</v>
      </c>
      <c r="B9" s="396" t="s">
        <v>302</v>
      </c>
      <c r="C9" s="396">
        <v>18</v>
      </c>
      <c r="D9" s="396">
        <v>21.84</v>
      </c>
      <c r="E9" s="396">
        <v>18.240000000000002</v>
      </c>
      <c r="F9" s="428">
        <v>18.48</v>
      </c>
      <c r="G9" s="428">
        <v>24.72</v>
      </c>
      <c r="H9" s="428">
        <v>22.32</v>
      </c>
      <c r="I9" s="428">
        <v>26.4</v>
      </c>
      <c r="J9" s="428">
        <v>30.72</v>
      </c>
      <c r="K9" s="428">
        <v>45.6</v>
      </c>
      <c r="L9" s="428">
        <v>67.44</v>
      </c>
      <c r="M9" s="428">
        <v>68.16</v>
      </c>
      <c r="N9" s="395">
        <v>60</v>
      </c>
      <c r="O9" s="395">
        <v>44.160000000000004</v>
      </c>
      <c r="P9" s="395">
        <v>62.16</v>
      </c>
      <c r="Q9" s="395">
        <v>35.28</v>
      </c>
      <c r="R9" s="395">
        <v>29.28</v>
      </c>
      <c r="S9" s="395">
        <v>56.88</v>
      </c>
      <c r="T9" s="395">
        <v>30.954274353876741</v>
      </c>
      <c r="U9" s="424">
        <v>1.2181991424487852</v>
      </c>
      <c r="V9" s="424">
        <v>1.2000000000000002</v>
      </c>
      <c r="W9" s="395">
        <v>0.90355853532748842</v>
      </c>
      <c r="X9" s="395">
        <v>1.78070611636002</v>
      </c>
      <c r="Y9" s="395">
        <v>0.62696629213483146</v>
      </c>
      <c r="Z9" s="395">
        <v>0.91848341232227493</v>
      </c>
      <c r="AA9" s="395">
        <v>5.0100756143667295</v>
      </c>
    </row>
    <row r="10" spans="1:28">
      <c r="A10" s="396">
        <v>4</v>
      </c>
      <c r="B10" s="396" t="s">
        <v>299</v>
      </c>
      <c r="C10" s="396">
        <v>10.08</v>
      </c>
      <c r="D10" s="396">
        <v>1.92</v>
      </c>
      <c r="E10" s="396">
        <v>1.6800000000000002</v>
      </c>
      <c r="F10" s="428">
        <v>1.68</v>
      </c>
      <c r="G10" s="428">
        <v>4.5599999999999996</v>
      </c>
      <c r="H10" s="428">
        <v>3.12</v>
      </c>
      <c r="I10" s="428">
        <v>7.2</v>
      </c>
      <c r="J10" s="428">
        <v>6.48</v>
      </c>
      <c r="K10" s="428">
        <v>8.8800000000000008</v>
      </c>
      <c r="L10" s="428">
        <v>15.6</v>
      </c>
      <c r="M10" s="428">
        <v>18.239999999999998</v>
      </c>
      <c r="N10" s="395">
        <v>31.92</v>
      </c>
      <c r="O10" s="395">
        <v>57.12</v>
      </c>
      <c r="P10" s="395">
        <v>60.239999999999995</v>
      </c>
      <c r="Q10" s="395">
        <v>113.52000000000001</v>
      </c>
      <c r="R10" s="395">
        <v>23.04</v>
      </c>
      <c r="S10" s="395">
        <v>13.68</v>
      </c>
      <c r="T10" s="395">
        <v>4.2119589509692137</v>
      </c>
      <c r="U10" s="424">
        <v>2.88</v>
      </c>
      <c r="V10" s="424">
        <v>1.92</v>
      </c>
      <c r="W10" s="395">
        <v>0.85052143684820392</v>
      </c>
      <c r="X10" s="395">
        <v>1.0580690399137</v>
      </c>
      <c r="Y10" s="395">
        <v>0.58738366080661841</v>
      </c>
      <c r="Z10" s="395">
        <v>1.6682461851475077</v>
      </c>
      <c r="AA10" s="395">
        <v>14.608494117647059</v>
      </c>
    </row>
    <row r="11" spans="1:28">
      <c r="A11" s="396">
        <v>5</v>
      </c>
      <c r="B11" s="396" t="s">
        <v>303</v>
      </c>
      <c r="C11" s="396">
        <v>47.04</v>
      </c>
      <c r="D11" s="396">
        <v>27.119999999999997</v>
      </c>
      <c r="E11" s="396">
        <v>54.72</v>
      </c>
      <c r="F11" s="428">
        <v>22.32</v>
      </c>
      <c r="G11" s="428">
        <v>15.6</v>
      </c>
      <c r="H11" s="428">
        <v>13.92</v>
      </c>
      <c r="I11" s="428">
        <v>37.44</v>
      </c>
      <c r="J11" s="428">
        <v>33.36</v>
      </c>
      <c r="K11" s="428">
        <v>32.4</v>
      </c>
      <c r="L11" s="428">
        <v>38.64</v>
      </c>
      <c r="M11" s="428">
        <v>27.84</v>
      </c>
      <c r="N11" s="395">
        <v>19.200000000000003</v>
      </c>
      <c r="O11" s="395">
        <v>9.84</v>
      </c>
      <c r="P11" s="395">
        <v>9.84</v>
      </c>
      <c r="Q11" s="395">
        <v>10.56</v>
      </c>
      <c r="R11" s="395">
        <v>9.120000000000001</v>
      </c>
      <c r="S11" s="395">
        <v>20.64</v>
      </c>
      <c r="T11" s="395">
        <v>3.4889663760896634</v>
      </c>
      <c r="U11" s="424">
        <v>0</v>
      </c>
      <c r="V11" s="424">
        <v>0</v>
      </c>
      <c r="W11" s="395">
        <v>6.9214480874316933E-2</v>
      </c>
      <c r="X11" s="395">
        <v>0</v>
      </c>
      <c r="Y11" s="395">
        <v>0.33454718176060799</v>
      </c>
      <c r="Z11" s="395">
        <v>16.59</v>
      </c>
      <c r="AA11" s="395">
        <v>40.399731958762885</v>
      </c>
    </row>
    <row r="12" spans="1:28">
      <c r="A12" s="396">
        <v>6</v>
      </c>
      <c r="B12" s="396" t="s">
        <v>304</v>
      </c>
      <c r="C12" s="396">
        <v>37.92</v>
      </c>
      <c r="D12" s="396">
        <v>31.44</v>
      </c>
      <c r="E12" s="396">
        <v>16.799999999999997</v>
      </c>
      <c r="F12" s="428">
        <v>12.24</v>
      </c>
      <c r="G12" s="428">
        <v>17.52</v>
      </c>
      <c r="H12" s="428">
        <v>29.76</v>
      </c>
      <c r="I12" s="428">
        <v>29.76</v>
      </c>
      <c r="J12" s="428">
        <v>26.16</v>
      </c>
      <c r="K12" s="428">
        <v>32.64</v>
      </c>
      <c r="L12" s="428">
        <v>30.96</v>
      </c>
      <c r="M12" s="428">
        <v>45.84</v>
      </c>
      <c r="N12" s="395">
        <v>31.44</v>
      </c>
      <c r="O12" s="395">
        <v>28.56</v>
      </c>
      <c r="P12" s="395">
        <v>25.68</v>
      </c>
      <c r="Q12" s="395">
        <v>31.92</v>
      </c>
      <c r="R12" s="395">
        <v>43.2</v>
      </c>
      <c r="S12" s="395">
        <v>27.119999999999997</v>
      </c>
      <c r="T12" s="395">
        <v>16.264817518248172</v>
      </c>
      <c r="U12" s="424">
        <v>15.606302695231513</v>
      </c>
      <c r="V12" s="424">
        <v>12</v>
      </c>
      <c r="W12" s="395">
        <v>11.63256</v>
      </c>
      <c r="X12" s="395">
        <v>30.52</v>
      </c>
      <c r="Y12" s="395">
        <v>41.658350680544437</v>
      </c>
      <c r="Z12" s="395">
        <v>33.875043409629043</v>
      </c>
      <c r="AA12" s="395">
        <v>18.624251968503938</v>
      </c>
    </row>
    <row r="13" spans="1:28">
      <c r="A13" s="396">
        <v>7</v>
      </c>
      <c r="B13" s="396" t="s">
        <v>305</v>
      </c>
      <c r="C13" s="396">
        <v>13.200000000000001</v>
      </c>
      <c r="D13" s="396">
        <v>11.28</v>
      </c>
      <c r="E13" s="396">
        <v>10.32</v>
      </c>
      <c r="F13" s="428">
        <v>11.04</v>
      </c>
      <c r="G13" s="428">
        <v>13.68</v>
      </c>
      <c r="H13" s="428">
        <v>13.92</v>
      </c>
      <c r="I13" s="428">
        <v>14.4</v>
      </c>
      <c r="J13" s="428">
        <v>16.8</v>
      </c>
      <c r="K13" s="428">
        <v>20.399999999999999</v>
      </c>
      <c r="L13" s="428">
        <v>24.72</v>
      </c>
      <c r="M13" s="428">
        <v>25.2</v>
      </c>
      <c r="N13" s="395">
        <v>26.160000000000004</v>
      </c>
      <c r="O13" s="395">
        <v>23.28</v>
      </c>
      <c r="P13" s="395">
        <v>20.16</v>
      </c>
      <c r="Q13" s="395">
        <v>15.84</v>
      </c>
      <c r="R13" s="395">
        <v>11.52</v>
      </c>
      <c r="S13" s="395">
        <v>10.32</v>
      </c>
      <c r="T13" s="395">
        <v>12.665077854671281</v>
      </c>
      <c r="U13" s="424">
        <v>11.444215600350571</v>
      </c>
      <c r="V13" s="424">
        <v>15.36</v>
      </c>
      <c r="W13" s="395">
        <v>11.226993299832497</v>
      </c>
      <c r="X13" s="395">
        <v>6.0404637436762227</v>
      </c>
      <c r="Y13" s="395">
        <v>6.7275883739198736</v>
      </c>
      <c r="Z13" s="395">
        <v>8.8493228346456689</v>
      </c>
      <c r="AA13" s="395">
        <v>12.669133333333333</v>
      </c>
    </row>
    <row r="14" spans="1:28">
      <c r="A14" s="396">
        <v>8</v>
      </c>
      <c r="B14" s="396" t="s">
        <v>306</v>
      </c>
      <c r="C14" s="396">
        <v>18.240000000000002</v>
      </c>
      <c r="D14" s="396">
        <v>15.600000000000001</v>
      </c>
      <c r="E14" s="396">
        <v>13.200000000000001</v>
      </c>
      <c r="F14" s="428">
        <v>18.96</v>
      </c>
      <c r="G14" s="428">
        <v>18.72</v>
      </c>
      <c r="H14" s="428">
        <v>15.36</v>
      </c>
      <c r="I14" s="428">
        <v>15.12</v>
      </c>
      <c r="J14" s="428">
        <v>15.6</v>
      </c>
      <c r="K14" s="428">
        <v>19.440000000000001</v>
      </c>
      <c r="L14" s="428">
        <v>14.16</v>
      </c>
      <c r="M14" s="428">
        <v>18.96</v>
      </c>
      <c r="N14" s="395">
        <v>24.96</v>
      </c>
      <c r="O14" s="395">
        <v>19.440000000000001</v>
      </c>
      <c r="P14" s="395">
        <v>14.399999999999999</v>
      </c>
      <c r="Q14" s="395">
        <v>18.240000000000002</v>
      </c>
      <c r="R14" s="395">
        <v>14.879999999999999</v>
      </c>
      <c r="S14" s="395">
        <v>27.839999999999996</v>
      </c>
      <c r="T14" s="395">
        <v>26.383783783783784</v>
      </c>
      <c r="U14" s="424">
        <v>30.133974833456701</v>
      </c>
      <c r="V14" s="424">
        <v>26.160000000000004</v>
      </c>
      <c r="W14" s="395">
        <v>28.536736272235114</v>
      </c>
      <c r="X14" s="395">
        <v>31.632637277648879</v>
      </c>
      <c r="Y14" s="395">
        <v>19.795392953929539</v>
      </c>
      <c r="Z14" s="395">
        <v>19.499634060520759</v>
      </c>
      <c r="AA14" s="395">
        <v>16.31111111111111</v>
      </c>
    </row>
    <row r="15" spans="1:28">
      <c r="A15" s="396">
        <v>9</v>
      </c>
      <c r="B15" s="396" t="s">
        <v>307</v>
      </c>
      <c r="C15" s="396">
        <v>41.76</v>
      </c>
      <c r="D15" s="396">
        <v>47.28</v>
      </c>
      <c r="E15" s="396">
        <v>62.16</v>
      </c>
      <c r="F15" s="428">
        <v>56.88</v>
      </c>
      <c r="G15" s="428">
        <v>50.64</v>
      </c>
      <c r="H15" s="428">
        <v>60.72</v>
      </c>
      <c r="I15" s="428">
        <v>53.04</v>
      </c>
      <c r="J15" s="428">
        <v>42.48</v>
      </c>
      <c r="K15" s="428">
        <v>83.04</v>
      </c>
      <c r="L15" s="428">
        <v>97.68</v>
      </c>
      <c r="M15" s="428">
        <v>70.56</v>
      </c>
      <c r="N15" s="395">
        <v>38.880000000000003</v>
      </c>
      <c r="O15" s="395">
        <v>35.28</v>
      </c>
      <c r="P15" s="395">
        <v>38.64</v>
      </c>
      <c r="Q15" s="395">
        <v>33.119999999999997</v>
      </c>
      <c r="R15" s="395">
        <v>40.08</v>
      </c>
      <c r="S15" s="395">
        <v>31.44</v>
      </c>
      <c r="T15" s="395">
        <v>29.82725527831094</v>
      </c>
      <c r="U15" s="424">
        <v>29.046697674418603</v>
      </c>
      <c r="V15" s="424">
        <v>30.240000000000002</v>
      </c>
      <c r="W15" s="395">
        <v>18.854756380510441</v>
      </c>
      <c r="X15" s="395">
        <v>16.146249999999998</v>
      </c>
      <c r="Y15" s="395">
        <v>22.907841409691631</v>
      </c>
      <c r="Z15" s="395">
        <v>29.775247058823528</v>
      </c>
      <c r="AA15" s="395">
        <v>23.828571428571429</v>
      </c>
    </row>
    <row r="16" spans="1:28">
      <c r="A16" s="396">
        <v>10</v>
      </c>
      <c r="B16" s="396" t="s">
        <v>308</v>
      </c>
      <c r="C16" s="396" t="s">
        <v>320</v>
      </c>
      <c r="D16" s="396">
        <v>11.76</v>
      </c>
      <c r="E16" s="396">
        <v>14.879999999999999</v>
      </c>
      <c r="F16" s="428">
        <v>18.48</v>
      </c>
      <c r="G16" s="428">
        <v>20.64</v>
      </c>
      <c r="H16" s="428">
        <v>13.44</v>
      </c>
      <c r="I16" s="428">
        <v>19.920000000000002</v>
      </c>
      <c r="J16" s="428">
        <v>22.8</v>
      </c>
      <c r="K16" s="428">
        <v>23.52</v>
      </c>
      <c r="L16" s="428">
        <v>36.24</v>
      </c>
      <c r="M16" s="428">
        <v>27.12</v>
      </c>
      <c r="N16" s="395">
        <v>31.44</v>
      </c>
      <c r="O16" s="395">
        <v>25.92</v>
      </c>
      <c r="P16" s="395">
        <v>19.200000000000003</v>
      </c>
      <c r="Q16" s="395">
        <v>28.08</v>
      </c>
      <c r="R16" s="395">
        <v>18.48</v>
      </c>
      <c r="S16" s="395">
        <v>22.080000000000002</v>
      </c>
      <c r="T16" s="395">
        <v>19.770197444831592</v>
      </c>
      <c r="U16" s="424">
        <v>18.382802241793435</v>
      </c>
      <c r="V16" s="424">
        <v>21.84</v>
      </c>
      <c r="W16" s="395">
        <v>21.581008107155444</v>
      </c>
      <c r="X16" s="395">
        <v>36.301247366203121</v>
      </c>
      <c r="Y16" s="395">
        <v>16.33727558604917</v>
      </c>
      <c r="Z16" s="395">
        <v>17.463369897959186</v>
      </c>
      <c r="AA16" s="395">
        <v>15.787074363992172</v>
      </c>
    </row>
    <row r="17" spans="1:27">
      <c r="A17" s="396">
        <v>11</v>
      </c>
      <c r="B17" s="396" t="s">
        <v>309</v>
      </c>
      <c r="C17" s="396">
        <v>30.72</v>
      </c>
      <c r="D17" s="396">
        <v>26.64</v>
      </c>
      <c r="E17" s="396">
        <v>20.88</v>
      </c>
      <c r="F17" s="428">
        <v>19.440000000000001</v>
      </c>
      <c r="G17" s="428">
        <v>24</v>
      </c>
      <c r="H17" s="428">
        <v>24</v>
      </c>
      <c r="I17" s="428">
        <v>23.04</v>
      </c>
      <c r="J17" s="428">
        <v>33.840000000000003</v>
      </c>
      <c r="K17" s="428">
        <v>25.44</v>
      </c>
      <c r="L17" s="428">
        <v>29.52</v>
      </c>
      <c r="M17" s="428">
        <v>32.880000000000003</v>
      </c>
      <c r="N17" s="395">
        <v>38.880000000000003</v>
      </c>
      <c r="O17" s="395">
        <v>28.32</v>
      </c>
      <c r="P17" s="395">
        <v>40.56</v>
      </c>
      <c r="Q17" s="395">
        <v>30.48</v>
      </c>
      <c r="R17" s="395">
        <v>11.040000000000001</v>
      </c>
      <c r="S17" s="395">
        <v>23.04</v>
      </c>
      <c r="T17" s="395">
        <v>25.581716036772214</v>
      </c>
      <c r="U17" s="424">
        <v>3.7378238341968908</v>
      </c>
      <c r="V17" s="424">
        <v>2.4000000000000004</v>
      </c>
      <c r="W17" s="395">
        <v>0.94986522911051208</v>
      </c>
      <c r="X17" s="395">
        <v>0.49945945945945946</v>
      </c>
      <c r="Y17" s="395">
        <v>3.5371399696816574E-3</v>
      </c>
      <c r="Z17" s="395">
        <v>5.5887179487179486</v>
      </c>
      <c r="AA17" s="395">
        <v>0.26331061343719575</v>
      </c>
    </row>
    <row r="18" spans="1:27">
      <c r="A18" s="396">
        <v>12</v>
      </c>
      <c r="B18" s="396" t="s">
        <v>310</v>
      </c>
      <c r="C18" s="396">
        <v>74.400000000000006</v>
      </c>
      <c r="D18" s="396">
        <v>69.36</v>
      </c>
      <c r="E18" s="396">
        <v>48.96</v>
      </c>
      <c r="F18" s="428">
        <v>41.76</v>
      </c>
      <c r="G18" s="428">
        <v>39.840000000000003</v>
      </c>
      <c r="H18" s="428">
        <v>64.319999999999993</v>
      </c>
      <c r="I18" s="428">
        <v>63.36</v>
      </c>
      <c r="J18" s="428">
        <v>62.88</v>
      </c>
      <c r="K18" s="428">
        <v>62.4</v>
      </c>
      <c r="L18" s="428">
        <v>79.680000000000007</v>
      </c>
      <c r="M18" s="428">
        <v>89.76</v>
      </c>
      <c r="N18" s="395">
        <v>85.92</v>
      </c>
      <c r="O18" s="395">
        <v>65.28</v>
      </c>
      <c r="P18" s="395">
        <v>60.480000000000004</v>
      </c>
      <c r="Q18" s="395">
        <v>47.519999999999996</v>
      </c>
      <c r="R18" s="395">
        <v>48.480000000000004</v>
      </c>
      <c r="S18" s="395">
        <v>45.599999999999994</v>
      </c>
      <c r="T18" s="395">
        <v>48.500055115397856</v>
      </c>
      <c r="U18" s="424">
        <v>44.428250975292585</v>
      </c>
      <c r="V18" s="424">
        <v>67.44</v>
      </c>
      <c r="W18" s="395">
        <v>56.418490685191038</v>
      </c>
      <c r="X18" s="395">
        <v>54.113685714285715</v>
      </c>
      <c r="Y18" s="395">
        <v>45.496518072289156</v>
      </c>
      <c r="Z18" s="395">
        <v>68.77909324758842</v>
      </c>
      <c r="AA18" s="395">
        <v>70.327029914529916</v>
      </c>
    </row>
    <row r="19" spans="1:27">
      <c r="A19" s="837" t="s">
        <v>280</v>
      </c>
      <c r="B19" s="837"/>
      <c r="C19" s="432">
        <v>32.880000000000003</v>
      </c>
      <c r="D19" s="432">
        <v>28.08</v>
      </c>
      <c r="E19" s="432">
        <v>25.92</v>
      </c>
      <c r="F19" s="433">
        <v>23.04</v>
      </c>
      <c r="G19" s="433">
        <v>26.64</v>
      </c>
      <c r="H19" s="433">
        <v>28.8</v>
      </c>
      <c r="I19" s="433">
        <v>37.200000000000003</v>
      </c>
      <c r="J19" s="433">
        <v>39.119999999999997</v>
      </c>
      <c r="K19" s="433">
        <v>51.84</v>
      </c>
      <c r="L19" s="433">
        <v>55.68</v>
      </c>
      <c r="M19" s="433">
        <v>49.2</v>
      </c>
      <c r="N19" s="434">
        <v>42.96</v>
      </c>
      <c r="O19" s="434">
        <v>35.519999999999996</v>
      </c>
      <c r="P19" s="434">
        <v>38.64</v>
      </c>
      <c r="Q19" s="434">
        <v>31.44</v>
      </c>
      <c r="R19" s="434">
        <v>30.48</v>
      </c>
      <c r="S19" s="434">
        <v>33.36</v>
      </c>
      <c r="T19" s="434">
        <v>26.400000000000002</v>
      </c>
      <c r="U19" s="435">
        <v>22.799999999999997</v>
      </c>
      <c r="V19" s="435">
        <v>24.96</v>
      </c>
      <c r="W19" s="434">
        <v>18.815436905013211</v>
      </c>
      <c r="X19" s="434">
        <v>19.29</v>
      </c>
      <c r="Y19" s="434">
        <v>14.138372587435908</v>
      </c>
      <c r="Z19" s="434">
        <v>23.55</v>
      </c>
      <c r="AA19" s="434">
        <v>23.324796551446301</v>
      </c>
    </row>
    <row r="20" spans="1:27">
      <c r="A20" s="422" t="s">
        <v>291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</row>
    <row r="21" spans="1:27">
      <c r="A21" s="422" t="s">
        <v>317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41"/>
      <c r="X21" s="422"/>
      <c r="Y21" s="422"/>
      <c r="Z21" s="422"/>
      <c r="AA21" s="422"/>
    </row>
    <row r="22" spans="1:27">
      <c r="A22" t="s">
        <v>323</v>
      </c>
      <c r="E22" s="429"/>
      <c r="M22" s="439"/>
      <c r="T22" s="422"/>
      <c r="U22" s="440"/>
      <c r="V22" s="422"/>
    </row>
    <row r="23" spans="1:27"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39"/>
      <c r="N23" s="422"/>
      <c r="O23" s="422"/>
      <c r="P23" s="422"/>
      <c r="T23" s="422"/>
      <c r="U23" s="440"/>
      <c r="V23" s="422"/>
    </row>
    <row r="24" spans="1:27"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31"/>
      <c r="M24" s="439"/>
      <c r="N24" s="422"/>
      <c r="O24" s="422"/>
      <c r="P24" s="422"/>
      <c r="T24" s="422"/>
      <c r="U24" s="440"/>
      <c r="V24" s="422"/>
    </row>
    <row r="25" spans="1:27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31"/>
      <c r="M25" s="439"/>
      <c r="N25" s="422"/>
      <c r="O25" s="422"/>
      <c r="P25" s="422"/>
      <c r="T25" s="422"/>
      <c r="U25" s="440"/>
      <c r="V25" s="422"/>
    </row>
    <row r="26" spans="1:27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31"/>
      <c r="M26" s="439"/>
      <c r="N26" s="422"/>
      <c r="O26" s="422"/>
      <c r="P26" s="422"/>
      <c r="T26" s="422"/>
      <c r="U26" s="440"/>
      <c r="V26" s="422"/>
    </row>
    <row r="27" spans="1:27"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31"/>
      <c r="M27" s="439"/>
      <c r="N27" s="422"/>
      <c r="O27" s="422"/>
      <c r="P27" s="422"/>
      <c r="T27" s="422"/>
      <c r="U27" s="440"/>
      <c r="V27" s="422"/>
    </row>
    <row r="28" spans="1:27"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31"/>
      <c r="M28" s="439"/>
      <c r="N28" s="422"/>
      <c r="O28" s="422"/>
      <c r="P28" s="422"/>
      <c r="T28" s="422"/>
      <c r="U28" s="440"/>
      <c r="V28" s="422"/>
    </row>
    <row r="29" spans="1:27"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31"/>
      <c r="M29" s="439"/>
      <c r="N29" s="422"/>
      <c r="O29" s="422"/>
      <c r="P29" s="422"/>
      <c r="T29" s="422"/>
      <c r="U29" s="440"/>
      <c r="V29" s="422"/>
    </row>
    <row r="30" spans="1:27"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31"/>
      <c r="M30" s="439"/>
      <c r="N30" s="422"/>
      <c r="O30" s="422"/>
      <c r="P30" s="422"/>
      <c r="T30" s="422"/>
      <c r="U30" s="440"/>
      <c r="V30" s="422"/>
    </row>
    <row r="31" spans="1:27"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31"/>
      <c r="M31" s="439"/>
      <c r="N31" s="422"/>
      <c r="O31" s="422"/>
      <c r="P31" s="422"/>
      <c r="T31" s="422"/>
      <c r="U31" s="440"/>
      <c r="V31" s="422"/>
    </row>
    <row r="32" spans="1:27"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31"/>
      <c r="M32" s="439"/>
      <c r="N32" s="422"/>
      <c r="O32" s="422"/>
      <c r="P32" s="422"/>
      <c r="T32" s="422"/>
      <c r="U32" s="440"/>
      <c r="V32" s="422"/>
    </row>
    <row r="33" spans="2:22"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31"/>
      <c r="M33" s="439"/>
      <c r="N33" s="422"/>
      <c r="O33" s="422"/>
      <c r="P33" s="422"/>
      <c r="T33" s="422"/>
      <c r="U33" s="440"/>
      <c r="V33" s="422"/>
    </row>
    <row r="34" spans="2:22"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31"/>
      <c r="M34" s="439"/>
      <c r="N34" s="422"/>
      <c r="O34" s="422"/>
      <c r="P34" s="422"/>
      <c r="T34" s="422"/>
      <c r="U34" s="440"/>
      <c r="V34" s="422"/>
    </row>
    <row r="35" spans="2:22"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31"/>
      <c r="M35" s="439"/>
      <c r="N35" s="422"/>
      <c r="O35" s="422"/>
      <c r="P35" s="422"/>
      <c r="T35" s="422"/>
      <c r="U35" s="422"/>
      <c r="V35" s="422"/>
    </row>
    <row r="36" spans="2:22"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31"/>
      <c r="M36" s="422"/>
      <c r="N36" s="422"/>
      <c r="O36" s="422"/>
      <c r="P36" s="422"/>
    </row>
    <row r="37" spans="2:22">
      <c r="B37" s="422"/>
      <c r="C37" s="430"/>
      <c r="D37" s="422"/>
      <c r="E37" s="422"/>
      <c r="F37" s="422"/>
      <c r="G37" s="422"/>
      <c r="H37" s="422"/>
      <c r="I37" s="422"/>
      <c r="J37" s="422"/>
      <c r="K37" s="422"/>
      <c r="L37" s="431"/>
      <c r="M37" s="422"/>
      <c r="N37" s="422"/>
      <c r="O37" s="422"/>
      <c r="P37" s="422"/>
    </row>
    <row r="38" spans="2:22">
      <c r="B38" s="422"/>
      <c r="C38" s="422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2"/>
      <c r="O38" s="422"/>
      <c r="P38" s="422"/>
    </row>
    <row r="39" spans="2:22"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</row>
    <row r="40" spans="2:22"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</row>
    <row r="41" spans="2:22">
      <c r="B41" s="422"/>
      <c r="C41" s="422"/>
      <c r="D41" s="422"/>
      <c r="E41" s="422"/>
      <c r="F41" s="422"/>
      <c r="G41" s="422"/>
      <c r="H41" s="422"/>
      <c r="I41" s="422"/>
      <c r="J41" s="422"/>
      <c r="K41" s="422"/>
      <c r="L41" s="422"/>
    </row>
    <row r="42" spans="2:22"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2"/>
    </row>
    <row r="43" spans="2:22">
      <c r="B43" s="422"/>
      <c r="C43" s="422"/>
      <c r="D43" s="422"/>
      <c r="E43" s="422"/>
      <c r="F43" s="422"/>
      <c r="G43" s="422"/>
      <c r="H43" s="422"/>
      <c r="I43" s="422"/>
      <c r="J43" s="422"/>
      <c r="K43" s="422"/>
      <c r="L43" s="422"/>
    </row>
    <row r="44" spans="2:22">
      <c r="B44" s="422"/>
      <c r="C44" s="422"/>
      <c r="D44" s="422"/>
      <c r="E44" s="422"/>
      <c r="F44" s="422"/>
      <c r="G44" s="422"/>
      <c r="H44" s="422"/>
      <c r="I44" s="422"/>
      <c r="J44" s="422"/>
      <c r="K44" s="422"/>
      <c r="L44" s="422"/>
    </row>
    <row r="45" spans="2:22"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2"/>
    </row>
    <row r="46" spans="2:22">
      <c r="B46" s="422"/>
      <c r="C46" s="422"/>
      <c r="D46" s="422"/>
      <c r="E46" s="422"/>
      <c r="F46" s="422"/>
      <c r="G46" s="422"/>
      <c r="H46" s="422"/>
      <c r="I46" s="422"/>
      <c r="J46" s="422"/>
      <c r="K46" s="422"/>
      <c r="L46" s="422"/>
    </row>
  </sheetData>
  <mergeCells count="2">
    <mergeCell ref="A1:AA1"/>
    <mergeCell ref="A19:B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Table-2014-15(Table 4-28)-Chart</vt:lpstr>
      <vt:lpstr>Sheet1</vt:lpstr>
      <vt:lpstr>Table-5(Major Non-major)</vt:lpstr>
      <vt:lpstr>Table-5,6,7,15(new)</vt:lpstr>
      <vt:lpstr>table 3</vt:lpstr>
      <vt:lpstr>Sheet2</vt:lpstr>
      <vt:lpstr>'Table-2014-15(Table 4-28)-Chart'!OLE_LINK20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2026-06-24T05:33:39Z</dcterms:modified>
</cp:coreProperties>
</file>